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2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mypac-my.sharepoint.com/personal/shay_tsaban_pac_org_il/Documents/Colman - Pri. Fin - ACC/"/>
    </mc:Choice>
  </mc:AlternateContent>
  <xr:revisionPtr revIDLastSave="1372" documentId="13_ncr:1_{57BBCDB9-EB52-B946-AFCD-FFB5F60EF2D2}" xr6:coauthVersionLast="47" xr6:coauthVersionMax="47" xr10:uidLastSave="{EFA1FDE1-576C-1746-931C-F6FDA00AC6EC}"/>
  <bookViews>
    <workbookView xWindow="0" yWindow="500" windowWidth="38020" windowHeight="21820" firstSheet="4" activeTab="9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06" i="27" l="1"/>
  <c r="E207" i="27"/>
  <c r="D207" i="27" s="1"/>
  <c r="E173" i="27"/>
  <c r="E156" i="27"/>
  <c r="D51" i="27"/>
  <c r="D50" i="27"/>
  <c r="D52" i="27"/>
  <c r="D49" i="27"/>
  <c r="D303" i="26"/>
  <c r="D304" i="26"/>
  <c r="D300" i="26"/>
  <c r="D296" i="26"/>
  <c r="D289" i="26"/>
  <c r="B242" i="26"/>
  <c r="D68" i="26"/>
  <c r="D67" i="26"/>
  <c r="C67" i="26" s="1"/>
  <c r="E78" i="26"/>
  <c r="H71" i="26"/>
  <c r="F233" i="24"/>
  <c r="F234" i="24"/>
  <c r="F235" i="24"/>
  <c r="F236" i="24"/>
  <c r="F232" i="24"/>
  <c r="E232" i="24"/>
  <c r="E233" i="24"/>
  <c r="E234" i="24"/>
  <c r="E235" i="24"/>
  <c r="E236" i="24"/>
  <c r="C233" i="24"/>
  <c r="C234" i="24"/>
  <c r="C235" i="24"/>
  <c r="C236" i="24"/>
  <c r="G233" i="24"/>
  <c r="G232" i="24"/>
  <c r="G234" i="24"/>
  <c r="G235" i="24" s="1"/>
  <c r="G236" i="24" s="1"/>
  <c r="C232" i="24"/>
  <c r="D232" i="24"/>
  <c r="D233" i="24" s="1"/>
  <c r="D234" i="24" s="1"/>
  <c r="D235" i="24" s="1"/>
  <c r="D236" i="24" s="1"/>
  <c r="D201" i="24"/>
  <c r="D202" i="24" s="1"/>
  <c r="D203" i="24" s="1"/>
  <c r="H203" i="24"/>
  <c r="C201" i="24"/>
  <c r="B201" i="24"/>
  <c r="B202" i="24" s="1"/>
  <c r="B203" i="24" s="1"/>
  <c r="B204" i="24" s="1"/>
  <c r="B205" i="24" s="1"/>
  <c r="B206" i="24" s="1"/>
  <c r="B207" i="24" s="1"/>
  <c r="B208" i="24" s="1"/>
  <c r="B209" i="24" s="1"/>
  <c r="B210" i="24" s="1"/>
  <c r="B211" i="24" s="1"/>
  <c r="B212" i="24" s="1"/>
  <c r="D193" i="24"/>
  <c r="D194" i="24" s="1"/>
  <c r="D195" i="24" s="1"/>
  <c r="E155" i="24"/>
  <c r="E154" i="24"/>
  <c r="E129" i="24"/>
  <c r="E132" i="24" s="1"/>
  <c r="E111" i="24"/>
  <c r="E112" i="24" s="1"/>
  <c r="G72" i="24"/>
  <c r="D64" i="24"/>
  <c r="F73" i="24" s="1"/>
  <c r="C193" i="22"/>
  <c r="B187" i="22"/>
  <c r="D239" i="22"/>
  <c r="G216" i="22"/>
  <c r="C216" i="22"/>
  <c r="B189" i="22"/>
  <c r="G189" i="22"/>
  <c r="G190" i="22" s="1"/>
  <c r="C140" i="22"/>
  <c r="C142" i="22" s="1"/>
  <c r="E104" i="22"/>
  <c r="E102" i="22"/>
  <c r="E74" i="22"/>
  <c r="D58" i="22"/>
  <c r="D187" i="18"/>
  <c r="D190" i="18" s="1"/>
  <c r="D156" i="18"/>
  <c r="D159" i="18" s="1"/>
  <c r="F122" i="18"/>
  <c r="F100" i="18"/>
  <c r="E180" i="35"/>
  <c r="E179" i="35"/>
  <c r="E182" i="35"/>
  <c r="F181" i="35"/>
  <c r="F179" i="35"/>
  <c r="D142" i="35"/>
  <c r="I146" i="35" s="1"/>
  <c r="I148" i="35" s="1"/>
  <c r="D156" i="35" s="1"/>
  <c r="D154" i="35" s="1"/>
  <c r="E110" i="35"/>
  <c r="E112" i="35" s="1"/>
  <c r="D113" i="35" s="1"/>
  <c r="D112" i="35" s="1"/>
  <c r="H110" i="35" s="1"/>
  <c r="C87" i="35"/>
  <c r="B88" i="35" s="1"/>
  <c r="B87" i="35" s="1"/>
  <c r="D45" i="35"/>
  <c r="D47" i="35" s="1"/>
  <c r="D31" i="35"/>
  <c r="D22" i="35"/>
  <c r="D197" i="13"/>
  <c r="D198" i="13"/>
  <c r="D194" i="13"/>
  <c r="E194" i="13"/>
  <c r="C170" i="13"/>
  <c r="C171" i="13"/>
  <c r="E135" i="13"/>
  <c r="D121" i="13"/>
  <c r="D120" i="13"/>
  <c r="D119" i="13"/>
  <c r="D118" i="13"/>
  <c r="F84" i="13"/>
  <c r="B73" i="13"/>
  <c r="F85" i="13" s="1"/>
  <c r="C38" i="13"/>
  <c r="D208" i="27" l="1"/>
  <c r="B208" i="27" s="1"/>
  <c r="E214" i="27" s="1"/>
  <c r="E201" i="24"/>
  <c r="F201" i="24" s="1"/>
  <c r="G201" i="24"/>
  <c r="C202" i="24" s="1"/>
  <c r="E202" i="24"/>
  <c r="F202" i="24" s="1"/>
  <c r="G202" i="24"/>
  <c r="C203" i="24" s="1"/>
  <c r="D204" i="24"/>
  <c r="C73" i="24"/>
  <c r="E73" i="24"/>
  <c r="D73" i="24" s="1"/>
  <c r="F74" i="24"/>
  <c r="F75" i="24" s="1"/>
  <c r="F76" i="24" s="1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C201" i="22"/>
  <c r="D123" i="13"/>
  <c r="C167" i="13"/>
  <c r="C175" i="13" s="1"/>
  <c r="C178" i="13" s="1"/>
  <c r="G203" i="24" l="1"/>
  <c r="C204" i="24" s="1"/>
  <c r="E203" i="24"/>
  <c r="F203" i="24" s="1"/>
  <c r="D205" i="24"/>
  <c r="G73" i="24"/>
  <c r="I195" i="4"/>
  <c r="H191" i="4"/>
  <c r="E195" i="4"/>
  <c r="D191" i="4"/>
  <c r="D190" i="4"/>
  <c r="E191" i="4"/>
  <c r="B195" i="4"/>
  <c r="A191" i="4"/>
  <c r="C166" i="4"/>
  <c r="C165" i="4"/>
  <c r="D166" i="4"/>
  <c r="D163" i="4"/>
  <c r="D165" i="4"/>
  <c r="E166" i="4"/>
  <c r="C126" i="4"/>
  <c r="C128" i="4"/>
  <c r="C127" i="4"/>
  <c r="C125" i="4"/>
  <c r="C124" i="4"/>
  <c r="C118" i="4"/>
  <c r="C117" i="4"/>
  <c r="B82" i="4"/>
  <c r="B81" i="4"/>
  <c r="C82" i="4"/>
  <c r="E45" i="4"/>
  <c r="E46" i="4"/>
  <c r="E49" i="4"/>
  <c r="E48" i="4"/>
  <c r="E47" i="4"/>
  <c r="B45" i="4"/>
  <c r="B30" i="4"/>
  <c r="B33" i="4"/>
  <c r="E219" i="34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73" i="27"/>
  <c r="C260" i="27"/>
  <c r="C261" i="27"/>
  <c r="C262" i="27"/>
  <c r="C263" i="27"/>
  <c r="C264" i="27"/>
  <c r="C265" i="27"/>
  <c r="C266" i="27"/>
  <c r="C267" i="27"/>
  <c r="C268" i="27"/>
  <c r="C269" i="27"/>
  <c r="C270" i="27"/>
  <c r="C259" i="27"/>
  <c r="F189" i="27"/>
  <c r="D85" i="27"/>
  <c r="D93" i="27" s="1"/>
  <c r="D97" i="27" s="1"/>
  <c r="E67" i="26"/>
  <c r="H68" i="26"/>
  <c r="C438" i="24"/>
  <c r="C643" i="22"/>
  <c r="C642" i="22"/>
  <c r="G643" i="22"/>
  <c r="G644" i="22" s="1"/>
  <c r="C554" i="22"/>
  <c r="C524" i="22"/>
  <c r="B320" i="22"/>
  <c r="G342" i="22"/>
  <c r="G343" i="22" s="1"/>
  <c r="C347" i="22" s="1"/>
  <c r="B341" i="22"/>
  <c r="C346" i="22" s="1"/>
  <c r="E295" i="22"/>
  <c r="G255" i="22"/>
  <c r="B253" i="22"/>
  <c r="G142" i="22"/>
  <c r="F215" i="18"/>
  <c r="D215" i="18"/>
  <c r="C215" i="18" s="1"/>
  <c r="E215" i="18"/>
  <c r="C202" i="18"/>
  <c r="E27" i="18"/>
  <c r="F28" i="18"/>
  <c r="E29" i="18" s="1"/>
  <c r="B110" i="35"/>
  <c r="B111" i="35" s="1"/>
  <c r="B112" i="35" s="1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B203" i="26"/>
  <c r="C194" i="26"/>
  <c r="E183" i="26"/>
  <c r="E187" i="26" s="1"/>
  <c r="E154" i="26"/>
  <c r="D154" i="26" s="1"/>
  <c r="C493" i="24"/>
  <c r="D499" i="24" s="1"/>
  <c r="D500" i="24" s="1"/>
  <c r="B142" i="22"/>
  <c r="H260" i="27" l="1"/>
  <c r="E204" i="24"/>
  <c r="F204" i="24" s="1"/>
  <c r="G204" i="24"/>
  <c r="C205" i="24" s="1"/>
  <c r="D206" i="24"/>
  <c r="C74" i="24"/>
  <c r="E74" i="24"/>
  <c r="D74" i="24" s="1"/>
  <c r="C645" i="22"/>
  <c r="E650" i="22"/>
  <c r="D207" i="34"/>
  <c r="E28" i="18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83" i="24"/>
  <c r="D477" i="24"/>
  <c r="D486" i="24" s="1"/>
  <c r="D426" i="24"/>
  <c r="D428" i="24" s="1"/>
  <c r="D431" i="24" s="1"/>
  <c r="D432" i="24" s="1"/>
  <c r="D436" i="24" s="1"/>
  <c r="D415" i="24"/>
  <c r="D417" i="24" s="1"/>
  <c r="D420" i="24" s="1"/>
  <c r="D421" i="24" s="1"/>
  <c r="D384" i="24"/>
  <c r="D390" i="24" s="1"/>
  <c r="D395" i="24"/>
  <c r="D396" i="24"/>
  <c r="D393" i="24"/>
  <c r="D388" i="24"/>
  <c r="F356" i="24"/>
  <c r="F364" i="24" s="1"/>
  <c r="F354" i="24"/>
  <c r="F357" i="24"/>
  <c r="E341" i="24"/>
  <c r="C341" i="24"/>
  <c r="B341" i="24"/>
  <c r="B342" i="24" s="1"/>
  <c r="B343" i="24" s="1"/>
  <c r="B344" i="24" s="1"/>
  <c r="B345" i="24" s="1"/>
  <c r="B346" i="24" s="1"/>
  <c r="D333" i="24"/>
  <c r="D335" i="24" s="1"/>
  <c r="C309" i="24"/>
  <c r="B309" i="24"/>
  <c r="C268" i="24"/>
  <c r="G267" i="24"/>
  <c r="E147" i="24"/>
  <c r="E156" i="24" s="1"/>
  <c r="E157" i="24" s="1"/>
  <c r="E121" i="24"/>
  <c r="E120" i="24"/>
  <c r="E117" i="24"/>
  <c r="E119" i="24"/>
  <c r="E416" i="22"/>
  <c r="E408" i="22"/>
  <c r="G469" i="22"/>
  <c r="G470" i="22" s="1"/>
  <c r="C477" i="22" s="1"/>
  <c r="B468" i="22"/>
  <c r="C476" i="22" s="1"/>
  <c r="E437" i="22"/>
  <c r="G367" i="22"/>
  <c r="B365" i="22"/>
  <c r="C503" i="22"/>
  <c r="G504" i="22"/>
  <c r="G505" i="22" s="1"/>
  <c r="H437" i="35"/>
  <c r="C439" i="35"/>
  <c r="C440" i="35" s="1"/>
  <c r="C441" i="35" s="1"/>
  <c r="H211" i="35"/>
  <c r="F213" i="35" s="1"/>
  <c r="C201" i="35"/>
  <c r="C202" i="35" s="1"/>
  <c r="C203" i="35" s="1"/>
  <c r="C204" i="35" s="1"/>
  <c r="H200" i="35"/>
  <c r="F202" i="35" s="1"/>
  <c r="D414" i="35"/>
  <c r="D402" i="35"/>
  <c r="D406" i="35" s="1"/>
  <c r="E369" i="35"/>
  <c r="D370" i="35" s="1"/>
  <c r="D369" i="35" s="1"/>
  <c r="C370" i="35" s="1"/>
  <c r="C369" i="35" s="1"/>
  <c r="B345" i="35"/>
  <c r="B343" i="35"/>
  <c r="B323" i="35"/>
  <c r="B324" i="35" s="1"/>
  <c r="B325" i="35" s="1"/>
  <c r="B326" i="35" s="1"/>
  <c r="B327" i="35" s="1"/>
  <c r="B328" i="35" s="1"/>
  <c r="B329" i="35" s="1"/>
  <c r="B330" i="35" s="1"/>
  <c r="B331" i="35" s="1"/>
  <c r="C322" i="35"/>
  <c r="B315" i="35"/>
  <c r="B314" i="35" s="1"/>
  <c r="D322" i="35" s="1"/>
  <c r="B306" i="35"/>
  <c r="F282" i="35"/>
  <c r="F271" i="35"/>
  <c r="F273" i="35" s="1"/>
  <c r="F285" i="35" s="1"/>
  <c r="B230" i="35"/>
  <c r="B231" i="35" s="1"/>
  <c r="B232" i="35" s="1"/>
  <c r="C241" i="35" s="1"/>
  <c r="C240" i="35" s="1"/>
  <c r="G229" i="35" s="1"/>
  <c r="C236" i="13"/>
  <c r="C237" i="13"/>
  <c r="C163" i="13"/>
  <c r="E131" i="13"/>
  <c r="E134" i="13" s="1"/>
  <c r="D135" i="13" s="1"/>
  <c r="D134" i="13" s="1"/>
  <c r="C135" i="13" s="1"/>
  <c r="C134" i="13" s="1"/>
  <c r="B135" i="13" s="1"/>
  <c r="B134" i="13" s="1"/>
  <c r="C32" i="13"/>
  <c r="H118" i="13"/>
  <c r="H119" i="13"/>
  <c r="E32" i="13"/>
  <c r="H121" i="13"/>
  <c r="H120" i="13"/>
  <c r="E205" i="24" l="1"/>
  <c r="F205" i="24" s="1"/>
  <c r="G205" i="24"/>
  <c r="C206" i="24" s="1"/>
  <c r="D207" i="24"/>
  <c r="E122" i="24"/>
  <c r="G74" i="24"/>
  <c r="F309" i="24"/>
  <c r="B310" i="24" s="1"/>
  <c r="D310" i="24" s="1"/>
  <c r="D413" i="29"/>
  <c r="F412" i="29"/>
  <c r="F408" i="29"/>
  <c r="E409" i="29"/>
  <c r="D414" i="29"/>
  <c r="D485" i="24"/>
  <c r="D389" i="24"/>
  <c r="D398" i="24"/>
  <c r="A398" i="24"/>
  <c r="F359" i="24"/>
  <c r="D309" i="24"/>
  <c r="E309" i="24" s="1"/>
  <c r="F341" i="24"/>
  <c r="F351" i="24"/>
  <c r="F350" i="24" s="1"/>
  <c r="C310" i="24"/>
  <c r="E517" i="22"/>
  <c r="F439" i="35"/>
  <c r="F438" i="35" s="1"/>
  <c r="F212" i="35"/>
  <c r="F201" i="35"/>
  <c r="F283" i="35"/>
  <c r="B344" i="35"/>
  <c r="D323" i="35"/>
  <c r="D324" i="35" s="1"/>
  <c r="D325" i="35" s="1"/>
  <c r="D326" i="35" s="1"/>
  <c r="D327" i="35" s="1"/>
  <c r="D328" i="35" s="1"/>
  <c r="D329" i="35" s="1"/>
  <c r="D330" i="35" s="1"/>
  <c r="D331" i="35" s="1"/>
  <c r="E322" i="35"/>
  <c r="C323" i="35" s="1"/>
  <c r="E206" i="24" l="1"/>
  <c r="F206" i="24" s="1"/>
  <c r="G206" i="24"/>
  <c r="C207" i="24" s="1"/>
  <c r="D208" i="24"/>
  <c r="C75" i="24"/>
  <c r="E75" i="24"/>
  <c r="D75" i="24" s="1"/>
  <c r="F409" i="29"/>
  <c r="E410" i="29"/>
  <c r="E413" i="29"/>
  <c r="F342" i="24"/>
  <c r="F343" i="24" s="1"/>
  <c r="D341" i="24"/>
  <c r="G341" i="24" s="1"/>
  <c r="E310" i="24"/>
  <c r="C311" i="24"/>
  <c r="F310" i="24"/>
  <c r="B311" i="24" s="1"/>
  <c r="E323" i="35"/>
  <c r="C324" i="35" s="1"/>
  <c r="E324" i="35" s="1"/>
  <c r="C325" i="35" s="1"/>
  <c r="E325" i="35" s="1"/>
  <c r="C326" i="35" s="1"/>
  <c r="E326" i="35" s="1"/>
  <c r="C327" i="35" s="1"/>
  <c r="E327" i="35" s="1"/>
  <c r="C328" i="35" s="1"/>
  <c r="E328" i="35" s="1"/>
  <c r="C329" i="35" s="1"/>
  <c r="E329" i="35" s="1"/>
  <c r="C330" i="35" s="1"/>
  <c r="E330" i="35" s="1"/>
  <c r="C331" i="35" s="1"/>
  <c r="E331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583" i="4"/>
  <c r="F575" i="4"/>
  <c r="G539" i="4"/>
  <c r="C515" i="4"/>
  <c r="C496" i="4"/>
  <c r="E207" i="24" l="1"/>
  <c r="F207" i="24" s="1"/>
  <c r="G207" i="24"/>
  <c r="C208" i="24" s="1"/>
  <c r="D209" i="24"/>
  <c r="G75" i="24"/>
  <c r="F410" i="29"/>
  <c r="F413" i="29" s="1"/>
  <c r="E414" i="29"/>
  <c r="C312" i="24"/>
  <c r="F311" i="24"/>
  <c r="B312" i="24" s="1"/>
  <c r="D311" i="24"/>
  <c r="E311" i="24" s="1"/>
  <c r="C342" i="24"/>
  <c r="E342" i="24"/>
  <c r="D342" i="24" s="1"/>
  <c r="F344" i="24"/>
  <c r="F345" i="24" s="1"/>
  <c r="F346" i="24" s="1"/>
  <c r="F362" i="24" s="1"/>
  <c r="F366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08" i="24" l="1"/>
  <c r="F208" i="24" s="1"/>
  <c r="G208" i="24"/>
  <c r="C209" i="24" s="1"/>
  <c r="D210" i="24"/>
  <c r="C76" i="24"/>
  <c r="E76" i="24"/>
  <c r="D76" i="24" s="1"/>
  <c r="F414" i="29"/>
  <c r="F312" i="24"/>
  <c r="B313" i="24" s="1"/>
  <c r="D312" i="24"/>
  <c r="E312" i="24" s="1"/>
  <c r="G342" i="24"/>
  <c r="C313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E429" i="34"/>
  <c r="J457" i="4"/>
  <c r="H417" i="4"/>
  <c r="J462" i="4"/>
  <c r="J452" i="4"/>
  <c r="E209" i="24" l="1"/>
  <c r="F209" i="24" s="1"/>
  <c r="G209" i="24"/>
  <c r="C210" i="24" s="1"/>
  <c r="D211" i="24"/>
  <c r="G76" i="24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43" i="24"/>
  <c r="D343" i="24" s="1"/>
  <c r="C343" i="24"/>
  <c r="F313" i="24"/>
  <c r="B314" i="24" s="1"/>
  <c r="D313" i="24"/>
  <c r="E313" i="24" s="1"/>
  <c r="C314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E210" i="24" l="1"/>
  <c r="F210" i="24" s="1"/>
  <c r="G210" i="24"/>
  <c r="C211" i="24" s="1"/>
  <c r="D212" i="24"/>
  <c r="C77" i="24"/>
  <c r="E77" i="24"/>
  <c r="D77" i="24" s="1"/>
  <c r="G343" i="24"/>
  <c r="F314" i="24"/>
  <c r="B315" i="24" s="1"/>
  <c r="D314" i="24"/>
  <c r="E314" i="24" s="1"/>
  <c r="C315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1" i="24" l="1"/>
  <c r="F211" i="24" s="1"/>
  <c r="G211" i="24"/>
  <c r="C212" i="24" s="1"/>
  <c r="E344" i="24"/>
  <c r="D344" i="24" s="1"/>
  <c r="C344" i="24"/>
  <c r="G77" i="24"/>
  <c r="D315" i="24"/>
  <c r="E315" i="24" s="1"/>
  <c r="F315" i="24"/>
  <c r="B316" i="24" s="1"/>
  <c r="C316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G344" i="24" l="1"/>
  <c r="E212" i="24"/>
  <c r="F212" i="24" s="1"/>
  <c r="G212" i="24"/>
  <c r="E78" i="24"/>
  <c r="D78" i="24" s="1"/>
  <c r="C78" i="24"/>
  <c r="C317" i="24"/>
  <c r="F316" i="24"/>
  <c r="B317" i="24" s="1"/>
  <c r="D316" i="24"/>
  <c r="E316" i="24" s="1"/>
  <c r="G61" i="30"/>
  <c r="G67" i="30" s="1"/>
  <c r="D82" i="30" s="1"/>
  <c r="F67" i="30"/>
  <c r="E345" i="24" l="1"/>
  <c r="D345" i="24" s="1"/>
  <c r="G345" i="24" s="1"/>
  <c r="C345" i="24"/>
  <c r="G78" i="24"/>
  <c r="C318" i="24"/>
  <c r="F317" i="24"/>
  <c r="B318" i="24" s="1"/>
  <c r="D317" i="24"/>
  <c r="E317" i="24" s="1"/>
  <c r="A99" i="30"/>
  <c r="C261" i="29"/>
  <c r="H248" i="29"/>
  <c r="H245" i="29"/>
  <c r="H246" i="29"/>
  <c r="H247" i="29"/>
  <c r="I247" i="29" s="1"/>
  <c r="B262" i="29"/>
  <c r="E346" i="24" l="1"/>
  <c r="D346" i="24" s="1"/>
  <c r="C346" i="24"/>
  <c r="C79" i="24"/>
  <c r="E79" i="24"/>
  <c r="D79" i="24" s="1"/>
  <c r="I245" i="29"/>
  <c r="I244" i="29"/>
  <c r="I246" i="29"/>
  <c r="I248" i="29"/>
  <c r="B261" i="29"/>
  <c r="B264" i="29"/>
  <c r="B263" i="29"/>
  <c r="F318" i="24"/>
  <c r="D318" i="24"/>
  <c r="E318" i="24" s="1"/>
  <c r="D261" i="29"/>
  <c r="D262" i="29" s="1"/>
  <c r="D263" i="29" s="1"/>
  <c r="C264" i="29" s="1"/>
  <c r="E264" i="29" s="1"/>
  <c r="G346" i="24" l="1"/>
  <c r="G79" i="24"/>
  <c r="D264" i="29"/>
  <c r="E265" i="29"/>
  <c r="E80" i="24" l="1"/>
  <c r="D80" i="24" s="1"/>
  <c r="C80" i="24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G80" i="24" l="1"/>
  <c r="E81" i="24"/>
  <c r="D81" i="24" s="1"/>
  <c r="C81" i="24"/>
  <c r="G81" i="24" s="1"/>
  <c r="F52" i="29"/>
  <c r="D53" i="29" s="1"/>
  <c r="F53" i="29" s="1"/>
  <c r="D54" i="29" s="1"/>
  <c r="D317" i="27"/>
  <c r="D316" i="27"/>
  <c r="E303" i="27"/>
  <c r="E307" i="27" s="1"/>
  <c r="F176" i="27"/>
  <c r="C69" i="27"/>
  <c r="D61" i="27"/>
  <c r="E61" i="27" s="1"/>
  <c r="D60" i="27"/>
  <c r="E60" i="27" s="1"/>
  <c r="D59" i="27"/>
  <c r="E59" i="27" s="1"/>
  <c r="D58" i="27"/>
  <c r="E58" i="27" s="1"/>
  <c r="G61" i="27" s="1"/>
  <c r="B67" i="26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D256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309" i="24"/>
  <c r="A310" i="24" s="1"/>
  <c r="C292" i="24"/>
  <c r="C291" i="24"/>
  <c r="C290" i="24"/>
  <c r="C293" i="24" s="1"/>
  <c r="C262" i="24"/>
  <c r="J259" i="24" s="1"/>
  <c r="B268" i="24"/>
  <c r="B269" i="24" s="1"/>
  <c r="B270" i="24" s="1"/>
  <c r="B271" i="24" s="1"/>
  <c r="B272" i="24" s="1"/>
  <c r="B273" i="24" s="1"/>
  <c r="B274" i="24" s="1"/>
  <c r="B275" i="24" s="1"/>
  <c r="B276" i="24" s="1"/>
  <c r="B277" i="24" s="1"/>
  <c r="B278" i="24" s="1"/>
  <c r="B27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703" i="22"/>
  <c r="C702" i="22"/>
  <c r="C701" i="22"/>
  <c r="C699" i="22"/>
  <c r="C720" i="22"/>
  <c r="E721" i="22"/>
  <c r="E722" i="22" s="1"/>
  <c r="B716" i="22"/>
  <c r="C724" i="22" s="1"/>
  <c r="D677" i="22"/>
  <c r="D678" i="22" s="1"/>
  <c r="F678" i="22"/>
  <c r="F679" i="22" s="1"/>
  <c r="B672" i="22"/>
  <c r="B671" i="22"/>
  <c r="B670" i="22"/>
  <c r="B669" i="22"/>
  <c r="H628" i="22"/>
  <c r="H625" i="22"/>
  <c r="H622" i="22"/>
  <c r="H617" i="22"/>
  <c r="H614" i="22"/>
  <c r="G578" i="22"/>
  <c r="D585" i="22" s="1"/>
  <c r="B566" i="22"/>
  <c r="E222" i="18"/>
  <c r="F281" i="13"/>
  <c r="E283" i="13" s="1"/>
  <c r="E281" i="13" s="1"/>
  <c r="D283" i="13" s="1"/>
  <c r="D281" i="13" s="1"/>
  <c r="C275" i="13"/>
  <c r="C239" i="13"/>
  <c r="C248" i="13"/>
  <c r="B250" i="13" s="1"/>
  <c r="B248" i="13" s="1"/>
  <c r="I239" i="13"/>
  <c r="C214" i="13"/>
  <c r="H111" i="13"/>
  <c r="G53" i="13"/>
  <c r="B398" i="4"/>
  <c r="B399" i="4" s="1"/>
  <c r="B380" i="4"/>
  <c r="E351" i="4"/>
  <c r="E352" i="4" s="1"/>
  <c r="E353" i="4" s="1"/>
  <c r="C349" i="4"/>
  <c r="B320" i="4"/>
  <c r="B319" i="4"/>
  <c r="F380" i="4"/>
  <c r="H351" i="4"/>
  <c r="C122" i="24"/>
  <c r="H352" i="4"/>
  <c r="F398" i="4"/>
  <c r="F399" i="4"/>
  <c r="G65" i="27"/>
  <c r="H353" i="4"/>
  <c r="B275" i="13"/>
  <c r="H349" i="4"/>
  <c r="C82" i="24" l="1"/>
  <c r="E82" i="24"/>
  <c r="D82" i="24" s="1"/>
  <c r="F67" i="26"/>
  <c r="B68" i="26" s="1"/>
  <c r="E68" i="26"/>
  <c r="E268" i="24"/>
  <c r="J262" i="24"/>
  <c r="F268" i="24" s="1"/>
  <c r="C279" i="27"/>
  <c r="F183" i="27"/>
  <c r="F194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311" i="24"/>
  <c r="A312" i="24" s="1"/>
  <c r="A313" i="24" s="1"/>
  <c r="A314" i="24" s="1"/>
  <c r="A315" i="24" s="1"/>
  <c r="A316" i="24" s="1"/>
  <c r="A317" i="24" s="1"/>
  <c r="A318" i="24" s="1"/>
  <c r="D679" i="22"/>
  <c r="C68" i="26" l="1"/>
  <c r="F68" i="26" s="1"/>
  <c r="B69" i="26" s="1"/>
  <c r="D69" i="26" s="1"/>
  <c r="G82" i="24"/>
  <c r="E69" i="26"/>
  <c r="E70" i="26" s="1"/>
  <c r="E71" i="26" s="1"/>
  <c r="E72" i="26" s="1"/>
  <c r="E73" i="26" s="1"/>
  <c r="E74" i="26" s="1"/>
  <c r="E75" i="26" s="1"/>
  <c r="E76" i="26" s="1"/>
  <c r="E77" i="26" s="1"/>
  <c r="F269" i="24"/>
  <c r="F270" i="24" s="1"/>
  <c r="F271" i="24" s="1"/>
  <c r="F272" i="24" s="1"/>
  <c r="F273" i="24" s="1"/>
  <c r="F274" i="24" s="1"/>
  <c r="F275" i="24" s="1"/>
  <c r="F276" i="24" s="1"/>
  <c r="F277" i="24" s="1"/>
  <c r="F278" i="24" s="1"/>
  <c r="F279" i="24" s="1"/>
  <c r="D268" i="24"/>
  <c r="G268" i="24" s="1"/>
  <c r="C269" i="24" s="1"/>
  <c r="E269" i="24" s="1"/>
  <c r="D269" i="24" s="1"/>
  <c r="G269" i="24" s="1"/>
  <c r="C270" i="24" s="1"/>
  <c r="E270" i="24" s="1"/>
  <c r="D270" i="24" s="1"/>
  <c r="G270" i="24" s="1"/>
  <c r="C271" i="24" s="1"/>
  <c r="E271" i="24" s="1"/>
  <c r="D271" i="24" s="1"/>
  <c r="G271" i="24" s="1"/>
  <c r="C272" i="24" s="1"/>
  <c r="E272" i="24" s="1"/>
  <c r="D272" i="24" s="1"/>
  <c r="G272" i="24" s="1"/>
  <c r="C273" i="24" s="1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C69" i="26" l="1"/>
  <c r="F69" i="26"/>
  <c r="B70" i="26" s="1"/>
  <c r="D70" i="26" s="1"/>
  <c r="E83" i="24"/>
  <c r="D83" i="24" s="1"/>
  <c r="C83" i="24"/>
  <c r="E273" i="24"/>
  <c r="D273" i="24" s="1"/>
  <c r="G273" i="24" s="1"/>
  <c r="C274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/>
  <c r="B71" i="26" s="1"/>
  <c r="D71" i="26" s="1"/>
  <c r="G83" i="24"/>
  <c r="E274" i="24"/>
  <c r="D274" i="24" s="1"/>
  <c r="G274" i="24" s="1"/>
  <c r="C275" i="24" s="1"/>
  <c r="C108" i="26"/>
  <c r="F106" i="26"/>
  <c r="B107" i="26" s="1"/>
  <c r="D106" i="26"/>
  <c r="E106" i="26" s="1"/>
  <c r="C71" i="26" l="1"/>
  <c r="F71" i="26" s="1"/>
  <c r="B72" i="26" s="1"/>
  <c r="D72" i="26" s="1"/>
  <c r="E84" i="24"/>
  <c r="D84" i="24" s="1"/>
  <c r="G84" i="24" s="1"/>
  <c r="C84" i="24"/>
  <c r="E275" i="24"/>
  <c r="D275" i="24" s="1"/>
  <c r="G275" i="24" s="1"/>
  <c r="C276" i="24" s="1"/>
  <c r="E276" i="24" s="1"/>
  <c r="D276" i="24" s="1"/>
  <c r="G276" i="24" s="1"/>
  <c r="C277" i="24" s="1"/>
  <c r="E277" i="24" s="1"/>
  <c r="D277" i="24" s="1"/>
  <c r="G277" i="24" s="1"/>
  <c r="C278" i="24" s="1"/>
  <c r="F107" i="26"/>
  <c r="B108" i="26" s="1"/>
  <c r="D107" i="26"/>
  <c r="E107" i="26" s="1"/>
  <c r="C109" i="26"/>
  <c r="C72" i="26" l="1"/>
  <c r="F72" i="26" s="1"/>
  <c r="B73" i="26" s="1"/>
  <c r="D73" i="26" s="1"/>
  <c r="C85" i="24"/>
  <c r="E85" i="24"/>
  <c r="D85" i="24" s="1"/>
  <c r="G85" i="24" s="1"/>
  <c r="E278" i="24"/>
  <c r="D278" i="24" s="1"/>
  <c r="G278" i="24" s="1"/>
  <c r="C279" i="24" s="1"/>
  <c r="C110" i="26"/>
  <c r="F108" i="26"/>
  <c r="B109" i="26" s="1"/>
  <c r="D108" i="26"/>
  <c r="E108" i="26" s="1"/>
  <c r="C73" i="26" l="1"/>
  <c r="F73" i="26" s="1"/>
  <c r="B74" i="26" s="1"/>
  <c r="D74" i="26" s="1"/>
  <c r="E86" i="24"/>
  <c r="D86" i="24" s="1"/>
  <c r="C86" i="24"/>
  <c r="G86" i="24"/>
  <c r="E279" i="24"/>
  <c r="D279" i="24" s="1"/>
  <c r="G279" i="24" s="1"/>
  <c r="F109" i="26"/>
  <c r="B110" i="26" s="1"/>
  <c r="D109" i="26"/>
  <c r="E109" i="26" s="1"/>
  <c r="C111" i="26"/>
  <c r="C74" i="26" l="1"/>
  <c r="F74" i="26" s="1"/>
  <c r="B75" i="26" s="1"/>
  <c r="D75" i="26" s="1"/>
  <c r="C87" i="24"/>
  <c r="E87" i="24"/>
  <c r="D87" i="24" s="1"/>
  <c r="C112" i="26"/>
  <c r="F110" i="26"/>
  <c r="B111" i="26" s="1"/>
  <c r="D110" i="26"/>
  <c r="E110" i="26" s="1"/>
  <c r="C75" i="26" l="1"/>
  <c r="F75" i="26"/>
  <c r="B76" i="26"/>
  <c r="D76" i="26" s="1"/>
  <c r="C76" i="26" s="1"/>
  <c r="G87" i="24"/>
  <c r="E88" i="24"/>
  <c r="D88" i="24" s="1"/>
  <c r="C88" i="24"/>
  <c r="F111" i="26"/>
  <c r="B112" i="26" s="1"/>
  <c r="D111" i="26"/>
  <c r="E111" i="26" s="1"/>
  <c r="F76" i="26" l="1"/>
  <c r="B77" i="26"/>
  <c r="D77" i="26" s="1"/>
  <c r="C77" i="26" s="1"/>
  <c r="G88" i="24"/>
  <c r="C89" i="24"/>
  <c r="E89" i="24"/>
  <c r="D89" i="24" s="1"/>
  <c r="F112" i="26"/>
  <c r="D112" i="26"/>
  <c r="E112" i="26" s="1"/>
  <c r="F77" i="26" l="1"/>
  <c r="B78" i="26" s="1"/>
  <c r="G89" i="24"/>
  <c r="D78" i="26" l="1"/>
  <c r="C78" i="26"/>
  <c r="F78" i="26" s="1"/>
  <c r="C90" i="24"/>
  <c r="E90" i="24"/>
  <c r="D90" i="24" s="1"/>
  <c r="G90" i="24" l="1"/>
  <c r="E91" i="24" l="1"/>
  <c r="D91" i="24" s="1"/>
  <c r="C91" i="24"/>
  <c r="G91" i="24" l="1"/>
  <c r="E92" i="24" l="1"/>
  <c r="D92" i="24" s="1"/>
  <c r="C92" i="24"/>
  <c r="G92" i="24" l="1"/>
  <c r="E93" i="24" l="1"/>
  <c r="D93" i="24" s="1"/>
  <c r="C93" i="24"/>
  <c r="G93" i="24" l="1"/>
  <c r="E94" i="24" l="1"/>
  <c r="D94" i="24" s="1"/>
  <c r="C94" i="24"/>
  <c r="G94" i="24" l="1"/>
  <c r="C95" i="24" l="1"/>
  <c r="E95" i="24"/>
  <c r="D95" i="24" s="1"/>
  <c r="G95" i="24" l="1"/>
  <c r="E96" i="24" s="1"/>
  <c r="D96" i="24" s="1"/>
  <c r="C96" i="24"/>
  <c r="G96" i="24" l="1"/>
</calcChain>
</file>

<file path=xl/sharedStrings.xml><?xml version="1.0" encoding="utf-8"?>
<sst xmlns="http://schemas.openxmlformats.org/spreadsheetml/2006/main" count="5180" uniqueCount="3442">
  <si>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</si>
  <si>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</si>
  <si>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</si>
  <si>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</si>
  <si>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</si>
  <si>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</si>
  <si>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</si>
  <si>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</si>
  <si>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</si>
  <si>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</si>
  <si>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</si>
  <si>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</si>
  <si>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</si>
  <si>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</si>
  <si>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</si>
  <si>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</si>
  <si>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</si>
  <si>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</si>
  <si>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</si>
  <si>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</si>
  <si>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</si>
  <si>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</si>
  <si>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</si>
  <si>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</si>
  <si>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</si>
  <si>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</si>
  <si>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</si>
  <si>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</si>
  <si>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</si>
  <si>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</si>
  <si>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</si>
  <si>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</si>
  <si>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</si>
  <si>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</si>
  <si>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</si>
  <si>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</si>
  <si>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</si>
  <si>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</si>
  <si>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</si>
  <si>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</si>
  <si>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</si>
  <si>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</si>
  <si>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</si>
  <si>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</si>
  <si>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</si>
  <si>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</si>
  <si>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</si>
  <si>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</si>
  <si>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</si>
  <si>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</si>
  <si>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</si>
  <si>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</si>
  <si>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</si>
  <si>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  <family val="2"/>
        <charset val="177"/>
      </rPr>
      <t>בחישוב ערך עתידי של השקעות</t>
    </r>
    <r>
      <rPr>
        <sz val="11"/>
        <color theme="1"/>
        <rFont val="David"/>
        <family val="2"/>
        <charset val="177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</si>
  <si>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</si>
  <si>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</si>
  <si>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</si>
  <si>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</si>
  <si>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</si>
  <si>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</si>
  <si>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</si>
  <si>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</si>
  <si>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</si>
  <si>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</si>
  <si>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</si>
  <si>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</si>
  <si>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</si>
  <si>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</si>
  <si>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</si>
  <si>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</si>
  <si>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</si>
  <si>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</si>
  <si>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</si>
  <si>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</si>
  <si>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</si>
  <si>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</si>
  <si>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</si>
  <si>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</si>
  <si>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</si>
  <si>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</si>
  <si>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</si>
  <si>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</si>
  <si>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</si>
  <si>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</si>
  <si>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</si>
  <si>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</si>
  <si>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</si>
  <si>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</si>
  <si>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</si>
  <si>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</si>
  <si>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</si>
  <si>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</si>
  <si>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</si>
  <si>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</si>
  <si>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</si>
  <si>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</si>
  <si>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</si>
  <si>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</si>
  <si>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</si>
  <si>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</si>
  <si>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</si>
  <si>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</si>
  <si>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</si>
  <si>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</si>
  <si>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</si>
  <si>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</si>
  <si>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</si>
  <si>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</si>
  <si>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</si>
  <si>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</si>
  <si>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</si>
  <si>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</si>
  <si>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</si>
  <si>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</si>
  <si>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</si>
  <si>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</si>
  <si>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</si>
  <si>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</si>
  <si>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</si>
  <si>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</si>
  <si>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</si>
  <si>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</si>
  <si>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</si>
  <si>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</si>
  <si>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</si>
  <si>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</si>
  <si>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</si>
  <si>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</si>
  <si>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</si>
  <si>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</si>
  <si>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</si>
  <si>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</si>
  <si>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  <family val="2"/>
        <charset val="177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</si>
  <si>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</si>
  <si>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</si>
  <si>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</si>
  <si>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</si>
  <si>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</si>
  <si>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</si>
  <si>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</si>
  <si>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</si>
  <si>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</si>
  <si>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</si>
  <si>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</si>
  <si>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</si>
  <si>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</si>
  <si>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</si>
  <si>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</si>
  <si>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</si>
  <si>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</si>
  <si>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</si>
  <si>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  <family val="2"/>
        <charset val="177"/>
      </rPr>
      <t>PV</t>
    </r>
    <r>
      <rPr>
        <sz val="11"/>
        <color theme="1"/>
        <rFont val="David"/>
        <family val="2"/>
        <charset val="177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</si>
  <si>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</si>
  <si>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</si>
  <si>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</si>
  <si>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</si>
  <si>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</si>
  <si>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</si>
  <si>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</si>
  <si>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</si>
  <si>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</si>
  <si>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</si>
  <si>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</si>
  <si>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</si>
  <si>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</si>
  <si>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</si>
  <si>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  <family val="2"/>
        <charset val="177"/>
      </rPr>
      <t>100,000</t>
    </r>
    <r>
      <rPr>
        <sz val="11"/>
        <color theme="1"/>
        <rFont val="David"/>
        <family val="2"/>
        <charset val="177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</si>
  <si>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</si>
  <si>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</si>
  <si>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</si>
  <si>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</si>
  <si>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</si>
  <si>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</si>
  <si>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</si>
  <si>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</si>
  <si>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</si>
  <si>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</si>
  <si>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</si>
  <si>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</si>
  <si>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</si>
  <si>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</si>
  <si>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</si>
  <si>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</si>
  <si>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</si>
  <si>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</si>
  <si>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</si>
  <si>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</si>
  <si>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</si>
  <si>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</si>
  <si>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</si>
  <si>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</si>
  <si>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</si>
  <si>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</si>
  <si>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</si>
  <si>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</si>
  <si>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</si>
  <si>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</si>
  <si>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</si>
  <si>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</si>
  <si>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</si>
  <si>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</si>
  <si>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</si>
  <si>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</si>
  <si>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</si>
  <si>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</si>
  <si>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</si>
  <si>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</si>
  <si>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</si>
  <si>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</si>
  <si>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</si>
  <si>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</si>
  <si>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</si>
  <si>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</si>
  <si>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</si>
  <si>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</si>
  <si>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</si>
  <si>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</si>
  <si>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</si>
  <si>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</si>
  <si>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</si>
  <si>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</si>
  <si>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</si>
  <si>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</si>
  <si>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</si>
  <si>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</si>
  <si>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</si>
  <si>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</si>
  <si>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</si>
  <si>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</si>
  <si>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</si>
  <si>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</si>
  <si>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</si>
  <si>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</si>
  <si>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</si>
  <si>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</si>
  <si>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</si>
  <si>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</si>
  <si>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</si>
  <si>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</si>
  <si>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</si>
  <si>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</si>
  <si>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</si>
  <si>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</si>
  <si>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</si>
  <si>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</si>
  <si>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</si>
  <si>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</si>
  <si>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</si>
  <si>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</si>
  <si>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</si>
  <si>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</si>
  <si>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</si>
  <si>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</si>
  <si>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</si>
  <si>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</si>
  <si>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</si>
  <si>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</si>
  <si>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</si>
  <si>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</si>
  <si>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</si>
  <si>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</si>
  <si>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</si>
  <si>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</si>
  <si>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</si>
  <si>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</si>
  <si>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</si>
  <si>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</si>
  <si>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</si>
  <si>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</si>
  <si>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</si>
  <si>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</si>
  <si>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</si>
  <si>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</si>
  <si>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</si>
  <si>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</si>
  <si>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</si>
  <si>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</si>
  <si>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</si>
  <si>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</si>
  <si>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</si>
  <si>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</si>
  <si>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</si>
  <si>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</si>
  <si>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</si>
  <si>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</si>
  <si>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</si>
  <si>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</si>
  <si>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</si>
  <si>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  <family val="2"/>
        <charset val="177"/>
      </rPr>
      <t>השנתית</t>
    </r>
    <r>
      <rPr>
        <sz val="16"/>
        <rFont val="David"/>
        <family val="2"/>
        <charset val="177"/>
      </rPr>
      <t xml:space="preserve"> הנדרשת?</t>
    </r>
  </si>
  <si>
    <r>
      <t>ב. מהי הריבית ה</t>
    </r>
    <r>
      <rPr>
        <b/>
        <sz val="16"/>
        <rFont val="David"/>
        <family val="2"/>
        <charset val="177"/>
      </rPr>
      <t>חודשית</t>
    </r>
    <r>
      <rPr>
        <sz val="16"/>
        <rFont val="David"/>
        <family val="2"/>
        <charset val="177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</si>
  <si>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</si>
  <si>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</si>
  <si>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</si>
  <si>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</si>
  <si>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</si>
  <si>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</si>
  <si>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</si>
  <si>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</si>
  <si>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</si>
  <si>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</si>
  <si>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</si>
  <si>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</si>
  <si>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</si>
  <si>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</si>
  <si>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</si>
  <si>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</si>
  <si>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</si>
  <si>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</si>
  <si>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</si>
  <si>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</si>
  <si>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</si>
  <si>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</si>
  <si>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</si>
  <si>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</si>
  <si>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</si>
  <si>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</si>
  <si>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</si>
  <si>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</si>
  <si>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</si>
  <si>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</si>
  <si>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</si>
  <si>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</si>
  <si>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</si>
  <si>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</si>
  <si>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</si>
  <si>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</si>
  <si>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</si>
  <si>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</si>
  <si>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</si>
  <si>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</si>
  <si>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</si>
  <si>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</si>
  <si>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</si>
  <si>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</si>
  <si>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</si>
  <si>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</si>
  <si>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</si>
  <si>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</si>
  <si>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</si>
  <si>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</si>
  <si>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</si>
  <si>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</si>
  <si>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</si>
  <si>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</si>
  <si>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</si>
  <si>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</si>
  <si>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</si>
  <si>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</si>
  <si>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</si>
  <si>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</si>
  <si>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</si>
  <si>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</si>
  <si>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</si>
  <si>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</si>
  <si>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</si>
  <si>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</si>
  <si>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</si>
  <si>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</si>
  <si>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</si>
  <si>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</si>
  <si>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</si>
  <si>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</si>
  <si>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</si>
  <si>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</si>
  <si>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</si>
  <si>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</si>
  <si>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</si>
  <si>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</si>
  <si>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</si>
  <si>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</si>
  <si>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</si>
  <si>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  <family val="2"/>
        <charset val="177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</si>
  <si>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</si>
  <si>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</si>
  <si>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</si>
  <si>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</si>
  <si>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</si>
  <si>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</si>
  <si>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</si>
  <si>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</si>
  <si>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</si>
  <si>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</si>
  <si>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</si>
  <si>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</si>
  <si>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</si>
  <si>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</si>
  <si>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</si>
  <si>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</si>
  <si>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</si>
  <si>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</si>
  <si>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</si>
  <si>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</si>
  <si>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</si>
  <si>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</si>
  <si>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</si>
  <si>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</si>
  <si>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</si>
  <si>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</si>
  <si>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</si>
  <si>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</si>
  <si>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</si>
  <si>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</si>
  <si>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</si>
  <si>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</si>
  <si>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</si>
  <si>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</si>
  <si>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</si>
  <si>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</si>
  <si>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</si>
  <si>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</si>
  <si>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</si>
  <si>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</si>
  <si>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</si>
  <si>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</si>
  <si>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</si>
  <si>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</si>
  <si>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</si>
  <si>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</si>
  <si>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</si>
  <si>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</si>
  <si>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</si>
  <si>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</si>
  <si>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</si>
  <si>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</si>
  <si>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</si>
  <si>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</si>
  <si>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</si>
  <si>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</si>
  <si>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</si>
  <si>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</si>
  <si>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</si>
  <si>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</si>
  <si>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</si>
  <si>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</si>
  <si>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</si>
  <si>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</si>
  <si>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</si>
  <si>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</si>
  <si>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</si>
  <si>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</si>
  <si>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</si>
  <si>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</si>
  <si>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</si>
  <si>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</si>
  <si>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</si>
  <si>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</si>
  <si>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</si>
  <si>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</si>
  <si>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</si>
  <si>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</si>
  <si>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</si>
  <si>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</si>
  <si>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</si>
  <si>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</si>
  <si>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</si>
  <si>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</si>
  <si>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</si>
  <si>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</si>
  <si>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</si>
  <si>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</si>
  <si>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</si>
  <si>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</si>
  <si>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</si>
  <si>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</si>
  <si>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</si>
  <si>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</si>
  <si>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</si>
  <si>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</si>
  <si>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</si>
  <si>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</si>
  <si>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</si>
  <si>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</si>
  <si>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</si>
  <si>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</si>
  <si>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</si>
  <si>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</si>
  <si>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</si>
  <si>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</si>
  <si>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</si>
  <si>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</si>
  <si>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</si>
  <si>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</si>
  <si>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</si>
  <si>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</si>
  <si>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</si>
  <si>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</si>
  <si>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</si>
  <si>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</si>
  <si>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</si>
  <si>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</si>
  <si>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</si>
  <si>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</si>
  <si>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</si>
  <si>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</si>
  <si>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</si>
  <si>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</si>
  <si>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</si>
  <si>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</si>
  <si>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</si>
  <si>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</si>
  <si>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</si>
  <si>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</si>
  <si>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</si>
  <si>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</si>
  <si>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</si>
  <si>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</si>
  <si>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</si>
  <si>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</si>
  <si>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</si>
  <si>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</si>
  <si>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</si>
  <si>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</si>
  <si>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</si>
  <si>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</si>
  <si>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</si>
  <si>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</si>
  <si>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</si>
  <si>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</si>
  <si>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</si>
  <si>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</si>
  <si>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</si>
  <si>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</si>
  <si>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</si>
  <si>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</si>
  <si>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</si>
  <si>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</si>
  <si>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</si>
  <si>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</si>
  <si>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</si>
  <si>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</si>
  <si>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</si>
  <si>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</si>
  <si>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</si>
  <si>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</si>
  <si>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</si>
  <si>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</si>
  <si>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</si>
  <si>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  <family val="2"/>
        <charset val="177"/>
      </rPr>
      <t>תחילה נפעל מתמטית</t>
    </r>
    <r>
      <rPr>
        <sz val="11"/>
        <color theme="1"/>
        <rFont val="David"/>
        <family val="2"/>
        <charset val="177"/>
      </rPr>
      <t>:</t>
    </r>
  </si>
  <si>
    <t>זמן - שנים</t>
  </si>
  <si>
    <r>
      <rPr>
        <sz val="11"/>
        <color rgb="FFFF0000"/>
        <rFont val="David"/>
        <family val="2"/>
        <charset val="177"/>
      </rPr>
      <t>1,000 * (1 + 5%)^2</t>
    </r>
    <r>
      <rPr>
        <sz val="11"/>
        <color theme="1"/>
        <rFont val="David"/>
        <family val="2"/>
        <charset val="177"/>
      </rPr>
      <t xml:space="preserve"> + </t>
    </r>
    <r>
      <rPr>
        <sz val="11"/>
        <color rgb="FF0070C0"/>
        <rFont val="David"/>
        <family val="2"/>
        <charset val="177"/>
      </rPr>
      <t>1,000 * (1 + 5%)^1</t>
    </r>
    <r>
      <rPr>
        <sz val="11"/>
        <color theme="1"/>
        <rFont val="David"/>
        <family val="2"/>
        <charset val="177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</si>
  <si>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</si>
  <si>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</si>
  <si>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</si>
  <si>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</si>
  <si>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</si>
  <si>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</si>
  <si>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</si>
  <si>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</si>
  <si>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</si>
  <si>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</si>
  <si>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</si>
  <si>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</si>
  <si>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</si>
  <si>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</si>
  <si>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</si>
  <si>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</si>
  <si>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</si>
  <si>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</si>
  <si>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</si>
  <si>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</si>
  <si>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</si>
  <si>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</si>
  <si>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</si>
  <si>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</si>
  <si>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</si>
  <si>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</si>
  <si>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</si>
  <si>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</si>
  <si>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</si>
  <si>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</si>
  <si>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</si>
  <si>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</si>
  <si>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</si>
  <si>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</si>
  <si>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</si>
  <si>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</si>
  <si>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</si>
  <si>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</si>
  <si>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</si>
  <si>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</si>
  <si>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</si>
  <si>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</si>
  <si>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</si>
  <si>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</si>
  <si>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</si>
  <si>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</si>
  <si>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</si>
  <si>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</si>
  <si>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</si>
  <si>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</si>
  <si>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</si>
  <si>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</si>
  <si>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</si>
  <si>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</si>
  <si>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</si>
  <si>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</si>
  <si>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</si>
  <si>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</si>
  <si>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</si>
  <si>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</si>
  <si>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</si>
  <si>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</si>
  <si>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</si>
  <si>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</si>
  <si>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</si>
  <si>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</si>
  <si>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</si>
  <si>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</si>
  <si>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</si>
  <si>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</si>
  <si>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</si>
  <si>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</si>
  <si>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</si>
  <si>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</si>
  <si>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</si>
  <si>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</si>
  <si>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</si>
  <si>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</si>
  <si>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</si>
  <si>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</si>
  <si>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</si>
  <si>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</si>
  <si>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</si>
  <si>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</si>
  <si>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</si>
  <si>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</si>
  <si>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</si>
  <si>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</si>
  <si>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</si>
  <si>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</si>
  <si>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</si>
  <si>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</si>
  <si>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</si>
  <si>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</si>
  <si>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</si>
  <si>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</si>
  <si>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</si>
  <si>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</si>
  <si>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</si>
  <si>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</si>
  <si>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</si>
  <si>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</si>
  <si>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</si>
  <si>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</si>
  <si>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</si>
  <si>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</si>
  <si>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</si>
  <si>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</si>
  <si>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</si>
  <si>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</si>
  <si>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</si>
  <si>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</si>
  <si>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</si>
  <si>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</si>
  <si>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</si>
  <si>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</si>
  <si>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</si>
  <si>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</si>
  <si>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</si>
  <si>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</si>
  <si>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</si>
  <si>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</si>
  <si>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</si>
  <si>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</si>
  <si>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</si>
  <si>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</si>
  <si>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</si>
  <si>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</si>
  <si>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</si>
  <si>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</si>
  <si>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</si>
  <si>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</si>
  <si>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  <family val="2"/>
        <charset val="177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</si>
  <si>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</si>
  <si>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</si>
  <si>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</si>
  <si>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</si>
  <si>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  <family val="2"/>
        <charset val="177"/>
      </rPr>
      <t>שנתיים</t>
    </r>
    <r>
      <rPr>
        <sz val="11"/>
        <color theme="1"/>
        <rFont val="David"/>
        <family val="2"/>
        <charset val="177"/>
      </rPr>
      <t xml:space="preserve"> </t>
    </r>
  </si>
  <si>
    <r>
      <t xml:space="preserve">צפויה להיות </t>
    </r>
    <r>
      <rPr>
        <sz val="11"/>
        <color rgb="FFFF0000"/>
        <rFont val="David"/>
        <family val="2"/>
        <charset val="177"/>
      </rPr>
      <t>1,000 ש״ח</t>
    </r>
    <r>
      <rPr>
        <sz val="11"/>
        <color theme="1"/>
        <rFont val="David"/>
        <family val="2"/>
        <charset val="177"/>
      </rPr>
      <t xml:space="preserve">. הריבית </t>
    </r>
    <r>
      <rPr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שהבנק מעניק בתכנית חסכון היא </t>
    </r>
    <r>
      <rPr>
        <sz val="11"/>
        <color rgb="FFFF0000"/>
        <rFont val="David"/>
        <family val="2"/>
        <charset val="177"/>
      </rPr>
      <t>5%</t>
    </r>
    <r>
      <rPr>
        <sz val="11"/>
        <color theme="1"/>
        <rFont val="David"/>
        <family val="2"/>
        <charset val="177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</si>
  <si>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</si>
  <si>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</si>
  <si>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</si>
  <si>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</si>
  <si>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</si>
  <si>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  <family val="2"/>
        <charset val="177"/>
      </rPr>
      <t>FV</t>
    </r>
    <r>
      <rPr>
        <sz val="11"/>
        <color theme="1"/>
        <rFont val="David"/>
        <family val="2"/>
        <charset val="177"/>
      </rPr>
      <t xml:space="preserve">/(1+r)^n = </t>
    </r>
  </si>
  <si>
    <t>פתרון בגישה ב - פרמטרי אקסל ופונקציית PV:</t>
  </si>
  <si>
    <t xml:space="preserve">pv = </t>
  </si>
  <si>
    <t>שאלה 2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</si>
  <si>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</si>
  <si>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</si>
  <si>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</si>
  <si>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</si>
  <si>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</si>
  <si>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</si>
  <si>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</si>
  <si>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</si>
  <si>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</si>
  <si>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</si>
  <si>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</si>
  <si>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</si>
  <si>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</si>
  <si>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4,000 * (1 - 5%) = 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</si>
  <si>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</si>
  <si>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</si>
  <si>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</si>
  <si>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</si>
  <si>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</si>
  <si>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</si>
  <si>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</si>
  <si>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</si>
  <si>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</si>
  <si>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</si>
  <si>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</si>
  <si>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</si>
  <si>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</si>
  <si>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</si>
  <si>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</si>
  <si>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</si>
  <si>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</si>
  <si>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</si>
  <si>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</si>
  <si>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</si>
  <si>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</si>
  <si>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</si>
  <si>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</si>
  <si>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</si>
  <si>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</si>
  <si>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</si>
  <si>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</si>
  <si>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</si>
  <si>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</si>
  <si>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</si>
  <si>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</si>
  <si>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</si>
  <si>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</si>
  <si>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  <family val="2"/>
        <charset val="177"/>
      </rPr>
      <t>צבירה</t>
    </r>
  </si>
  <si>
    <r>
      <t xml:space="preserve">זמן 4 - </t>
    </r>
    <r>
      <rPr>
        <b/>
        <sz val="11"/>
        <color theme="1"/>
        <rFont val="David"/>
        <family val="2"/>
        <charset val="177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</si>
  <si>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</si>
  <si>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</si>
  <si>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</si>
  <si>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</si>
  <si>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</si>
  <si>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</si>
  <si>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</si>
  <si>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</si>
  <si>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</si>
  <si>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</si>
  <si>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</si>
  <si>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</si>
  <si>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</si>
  <si>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</si>
  <si>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</si>
  <si>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</si>
  <si>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</si>
  <si>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</si>
  <si>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</si>
  <si>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</si>
  <si>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</si>
  <si>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</si>
  <si>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  <family val="2"/>
        <charset val="177"/>
      </rPr>
      <t>הריבית החודשית עומדת על 1%,</t>
    </r>
    <r>
      <rPr>
        <sz val="11"/>
        <color theme="1"/>
        <rFont val="David"/>
        <family val="2"/>
        <charset val="177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</si>
  <si>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</si>
  <si>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</si>
  <si>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</si>
  <si>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</si>
  <si>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</si>
  <si>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</si>
  <si>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</si>
  <si>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</si>
  <si>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</si>
  <si>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  <family val="2"/>
        <charset val="177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</si>
  <si>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</si>
  <si>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</si>
  <si>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</si>
  <si>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</si>
  <si>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  <family val="2"/>
        <charset val="177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</si>
  <si>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</si>
  <si>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</si>
  <si>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</si>
  <si>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</si>
  <si>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</si>
  <si>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</si>
  <si>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</si>
  <si>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</si>
  <si>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</si>
  <si>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</si>
  <si>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</si>
  <si>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</si>
  <si>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</si>
  <si>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</si>
  <si>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</si>
  <si>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</si>
  <si>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</si>
  <si>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</si>
  <si>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</si>
  <si>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</si>
  <si>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</si>
  <si>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</si>
  <si>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</si>
  <si>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</si>
  <si>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</si>
  <si>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  <family val="2"/>
        <charset val="177"/>
      </rPr>
      <t>א.</t>
    </r>
    <r>
      <rPr>
        <sz val="12"/>
        <color theme="1"/>
        <rFont val="David"/>
        <family val="2"/>
        <charset val="177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</si>
  <si>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</si>
  <si>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</si>
  <si>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</si>
  <si>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</si>
  <si>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</si>
  <si>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</si>
  <si>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</si>
  <si>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</si>
  <si>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</si>
  <si>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</si>
  <si>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</si>
  <si>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</si>
  <si>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</si>
  <si>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</si>
  <si>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</si>
  <si>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</si>
  <si>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</si>
  <si>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</si>
  <si>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</si>
  <si>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</si>
  <si>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</si>
  <si>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</si>
  <si>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</si>
  <si>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</si>
  <si>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</si>
  <si>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</si>
  <si>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</si>
  <si>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</si>
  <si>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</si>
  <si>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</si>
  <si>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</si>
  <si>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</si>
  <si>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</si>
  <si>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</si>
  <si>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</si>
  <si>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</si>
  <si>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</si>
  <si>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</si>
  <si>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</si>
  <si>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</si>
  <si>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</si>
  <si>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</si>
  <si>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</si>
  <si>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</si>
  <si>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</si>
  <si>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</si>
  <si>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</si>
  <si>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</si>
  <si>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</si>
  <si>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</si>
  <si>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</si>
  <si>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</si>
  <si>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</si>
  <si>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</si>
  <si>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</si>
  <si>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</si>
  <si>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</si>
  <si>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</si>
  <si>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</si>
  <si>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  <family val="2"/>
        <charset val="177"/>
      </rPr>
      <t>היום</t>
    </r>
    <r>
      <rPr>
        <sz val="12"/>
        <color theme="1"/>
        <rFont val="David"/>
        <family val="2"/>
        <charset val="177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</si>
  <si>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</si>
  <si>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</si>
  <si>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</si>
  <si>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</si>
  <si>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</si>
  <si>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, שווה מאד לבנות את הציר </t>
    </r>
    <r>
      <rPr>
        <u/>
        <sz val="12"/>
        <color theme="1"/>
        <rFont val="David"/>
        <family val="2"/>
        <charset val="177"/>
      </rPr>
      <t>בחודשים</t>
    </r>
  </si>
  <si>
    <t>המתנה</t>
  </si>
  <si>
    <t>תשלומים</t>
  </si>
  <si>
    <t>התשובה</t>
  </si>
  <si>
    <t>הסופית:</t>
  </si>
  <si>
    <t>שאלה 3.1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</si>
  <si>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</si>
  <si>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</si>
  <si>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</si>
  <si>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</si>
  <si>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</si>
  <si>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</si>
  <si>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</si>
  <si>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</si>
  <si>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</si>
  <si>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</si>
  <si>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</si>
  <si>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</si>
  <si>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</si>
  <si>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</si>
  <si>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</si>
  <si>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</si>
  <si>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</si>
  <si>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</si>
  <si>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</si>
  <si>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</si>
  <si>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</si>
  <si>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  <family val="2"/>
        <charset val="177"/>
      </rPr>
      <t>תוספת</t>
    </r>
    <r>
      <rPr>
        <sz val="12"/>
        <color theme="1"/>
        <rFont val="David"/>
        <family val="2"/>
        <charset val="177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</si>
  <si>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</si>
  <si>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</si>
  <si>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</si>
  <si>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</si>
  <si>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</si>
  <si>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</si>
  <si>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</si>
  <si>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</si>
  <si>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</si>
  <si>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</si>
  <si>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</si>
  <si>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</si>
  <si>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</si>
  <si>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</si>
  <si>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</si>
  <si>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</si>
  <si>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</si>
  <si>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</si>
  <si>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</si>
  <si>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</si>
  <si>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</si>
  <si>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</si>
  <si>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</si>
  <si>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</si>
  <si>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</si>
  <si>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</si>
  <si>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</si>
  <si>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</si>
  <si>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</si>
  <si>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</si>
  <si>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</si>
  <si>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</si>
  <si>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</si>
  <si>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</si>
  <si>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</si>
  <si>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</si>
  <si>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</si>
  <si>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</si>
  <si>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</si>
  <si>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</si>
  <si>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</si>
  <si>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</si>
  <si>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</si>
  <si>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</si>
  <si>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</si>
  <si>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</si>
  <si>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</si>
  <si>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</si>
  <si>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</si>
  <si>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</si>
  <si>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</si>
  <si>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</si>
  <si>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</si>
  <si>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</si>
  <si>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</si>
  <si>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</si>
  <si>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</si>
  <si>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</si>
  <si>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</si>
  <si>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</si>
  <si>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</si>
  <si>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</si>
  <si>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</si>
  <si>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</si>
  <si>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</si>
  <si>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</si>
  <si>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</si>
  <si>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</si>
  <si>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</si>
  <si>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</si>
  <si>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</si>
  <si>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</si>
  <si>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</si>
  <si>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</si>
  <si>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</si>
  <si>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</si>
  <si>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</si>
  <si>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</si>
  <si>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</si>
  <si>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</si>
  <si>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</si>
  <si>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</si>
  <si>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</si>
  <si>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</si>
  <si>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</si>
  <si>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</si>
  <si>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</si>
  <si>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  <family val="2"/>
        <charset val="177"/>
      </rPr>
      <t>בחצי השנה הראשונה</t>
    </r>
    <r>
      <rPr>
        <sz val="12"/>
        <color theme="1"/>
        <rFont val="David"/>
        <family val="2"/>
        <charset val="177"/>
      </rPr>
      <t xml:space="preserve"> - השכר יהיה 10,000 ש״ח בסוף כל חודש, במשך 6 חודשים.</t>
    </r>
  </si>
  <si>
    <r>
      <rPr>
        <sz val="12"/>
        <color rgb="FF0070C0"/>
        <rFont val="David"/>
        <family val="2"/>
        <charset val="177"/>
      </rPr>
      <t>בחצי השנה השניה</t>
    </r>
    <r>
      <rPr>
        <sz val="12"/>
        <color theme="1"/>
        <rFont val="David"/>
        <family val="2"/>
        <charset val="177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</si>
  <si>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  <family val="2"/>
        <charset val="177"/>
      </rPr>
      <t>מחצית שלישית</t>
    </r>
    <r>
      <rPr>
        <sz val="12"/>
        <color theme="1"/>
        <rFont val="David"/>
        <family val="2"/>
        <charset val="177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</si>
  <si>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</si>
  <si>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</si>
  <si>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  <family val="2"/>
        <charset val="177"/>
      </rPr>
      <t>126,774.5</t>
    </r>
    <r>
      <rPr>
        <sz val="12"/>
        <color theme="1"/>
        <rFont val="David"/>
        <family val="2"/>
        <charset val="177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</si>
  <si>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</si>
  <si>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</si>
  <si>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</si>
  <si>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</si>
  <si>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</si>
  <si>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</si>
  <si>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</si>
  <si>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</si>
  <si>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</si>
  <si>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</si>
  <si>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</si>
  <si>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</si>
  <si>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</si>
  <si>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</si>
  <si>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</si>
  <si>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</si>
  <si>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</si>
  <si>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</si>
  <si>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</si>
  <si>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</si>
  <si>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</si>
  <si>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</si>
  <si>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</si>
  <si>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</si>
  <si>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</si>
  <si>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</si>
  <si>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</si>
  <si>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</si>
  <si>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</si>
  <si>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</si>
  <si>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</si>
  <si>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</si>
  <si>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</si>
  <si>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</si>
  <si>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</si>
  <si>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</si>
  <si>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</si>
  <si>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</si>
  <si>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</si>
  <si>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</si>
  <si>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</si>
  <si>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</si>
  <si>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</si>
  <si>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</si>
  <si>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</si>
  <si>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</si>
  <si>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</si>
  <si>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</si>
  <si>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</si>
  <si>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</si>
  <si>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</si>
  <si>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</si>
  <si>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</si>
  <si>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</si>
  <si>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</si>
  <si>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</si>
  <si>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</si>
  <si>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</si>
  <si>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</si>
  <si>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</si>
  <si>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</si>
  <si>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</si>
  <si>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</si>
  <si>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</si>
  <si>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</si>
  <si>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</si>
  <si>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</si>
  <si>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</si>
  <si>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</si>
  <si>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</si>
  <si>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</si>
  <si>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</si>
  <si>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</si>
  <si>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</si>
  <si>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</si>
  <si>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</si>
  <si>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</si>
  <si>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</si>
  <si>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</si>
  <si>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</si>
  <si>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</si>
  <si>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  <family val="2"/>
        <charset val="177"/>
      </rPr>
      <t>נקובה</t>
    </r>
    <r>
      <rPr>
        <sz val="12"/>
        <color theme="1"/>
        <rFont val="David"/>
        <family val="2"/>
        <charset val="177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</si>
  <si>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</si>
  <si>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  <family val="2"/>
        <charset val="177"/>
      </rPr>
      <t>לא</t>
    </r>
    <r>
      <rPr>
        <sz val="12"/>
        <color theme="1"/>
        <rFont val="David"/>
        <family val="2"/>
        <charset val="177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</si>
  <si>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</si>
  <si>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</si>
  <si>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</si>
  <si>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</si>
  <si>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</si>
  <si>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</si>
  <si>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</si>
  <si>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</si>
  <si>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</si>
  <si>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</si>
  <si>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</si>
  <si>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</si>
  <si>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</si>
  <si>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</si>
  <si>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</si>
  <si>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</si>
  <si>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  <family val="2"/>
        <charset val="177"/>
      </rPr>
      <t>בעסקאות ״פשוטות״ שנפרעות בתשלום אחד</t>
    </r>
    <r>
      <rPr>
        <sz val="12"/>
        <color theme="1"/>
        <rFont val="David"/>
        <family val="2"/>
        <charset val="177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</si>
  <si>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</si>
  <si>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</si>
  <si>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</si>
  <si>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</si>
  <si>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</si>
  <si>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</si>
  <si>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  <family val="2"/>
        <charset val="177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</si>
  <si>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</si>
  <si>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</si>
  <si>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</si>
  <si>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</si>
  <si>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</si>
  <si>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</si>
  <si>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  <family val="2"/>
        <charset val="177"/>
      </rPr>
      <t>שונים</t>
    </r>
    <r>
      <rPr>
        <sz val="12"/>
        <color theme="1"/>
        <rFont val="David"/>
        <family val="2"/>
        <charset val="177"/>
      </rPr>
      <t xml:space="preserve">. </t>
    </r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</si>
  <si>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</si>
  <si>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</si>
  <si>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</si>
  <si>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</si>
  <si>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</si>
  <si>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</si>
  <si>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</si>
  <si>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</si>
  <si>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</si>
  <si>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</si>
  <si>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</si>
  <si>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</si>
  <si>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</si>
  <si>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</si>
  <si>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</si>
  <si>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</si>
  <si>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</si>
  <si>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</si>
  <si>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</si>
  <si>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</si>
  <si>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</si>
  <si>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</si>
  <si>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</si>
  <si>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</si>
  <si>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</si>
  <si>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</si>
  <si>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</si>
  <si>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</si>
  <si>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</si>
  <si>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</si>
  <si>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</si>
  <si>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</si>
  <si>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</si>
  <si>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  <family val="2"/>
        <charset val="177"/>
      </rPr>
      <t>,</t>
    </r>
    <r>
      <rPr>
        <sz val="12"/>
        <color theme="1"/>
        <rFont val="David"/>
        <family val="2"/>
        <charset val="177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</si>
  <si>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</si>
  <si>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</si>
  <si>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</si>
  <si>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</si>
  <si>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</si>
  <si>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מהי הריבית הנקובה השנתית. </t>
    </r>
    <r>
      <rPr>
        <b/>
        <sz val="12"/>
        <color rgb="FFFF0000"/>
        <rFont val="David"/>
        <family val="2"/>
        <charset val="177"/>
      </rPr>
      <t>(ב)</t>
    </r>
    <r>
      <rPr>
        <sz val="12"/>
        <color theme="1"/>
        <rFont val="David"/>
        <family val="2"/>
        <charset val="177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</si>
  <si>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  <family val="2"/>
        <charset val="177"/>
      </rPr>
      <t>(א)</t>
    </r>
    <r>
      <rPr>
        <sz val="12"/>
        <color theme="1"/>
        <rFont val="David"/>
        <family val="2"/>
        <charset val="177"/>
      </rPr>
      <t xml:space="preserve"> כדי לחשב את </t>
    </r>
    <r>
      <rPr>
        <b/>
        <u/>
        <sz val="12"/>
        <color theme="1"/>
        <rFont val="David"/>
        <family val="2"/>
        <charset val="177"/>
      </rPr>
      <t>הריבית הנקובה השנתית</t>
    </r>
    <r>
      <rPr>
        <sz val="12"/>
        <color theme="1"/>
        <rFont val="David"/>
        <family val="2"/>
        <charset val="177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</si>
  <si>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</si>
  <si>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</si>
  <si>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</si>
  <si>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</si>
  <si>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</si>
  <si>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</si>
  <si>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</si>
  <si>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  <family val="2"/>
        <charset val="177"/>
      </rPr>
      <t>(ב)</t>
    </r>
    <r>
      <rPr>
        <b/>
        <sz val="12"/>
        <color theme="1"/>
        <rFont val="David"/>
        <family val="2"/>
        <charset val="177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</si>
  <si>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</si>
  <si>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</si>
  <si>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</si>
  <si>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</si>
  <si>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  <family val="2"/>
        <charset val="177"/>
      </rPr>
      <t>הריבית האפקטיבית</t>
    </r>
    <r>
      <rPr>
        <sz val="12"/>
        <color theme="1"/>
        <rFont val="David"/>
        <family val="2"/>
        <charset val="177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</si>
  <si>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</si>
  <si>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  <family val="2"/>
        <charset val="177"/>
      </rPr>
      <t>נקובה שנתית</t>
    </r>
    <r>
      <rPr>
        <sz val="12"/>
        <color theme="1"/>
        <rFont val="David"/>
        <family val="2"/>
        <charset val="177"/>
      </rPr>
      <t xml:space="preserve"> בשיעור 9%, אשר מחושבת על </t>
    </r>
    <r>
      <rPr>
        <sz val="12"/>
        <color theme="5"/>
        <rFont val="David"/>
        <family val="2"/>
        <charset val="177"/>
      </rPr>
      <t>בסיס רבעוני</t>
    </r>
    <r>
      <rPr>
        <sz val="12"/>
        <color theme="1"/>
        <rFont val="David"/>
        <family val="2"/>
        <charset val="177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</si>
  <si>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</si>
  <si>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</si>
  <si>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</si>
  <si>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</si>
  <si>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</si>
  <si>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</si>
  <si>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</si>
  <si>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  <family val="2"/>
        <charset val="177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</si>
  <si>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</si>
  <si>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</si>
  <si>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</si>
  <si>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</si>
  <si>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</si>
  <si>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</si>
  <si>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</si>
  <si>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  <family val="2"/>
        <charset val="177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</si>
  <si>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</si>
  <si>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</si>
  <si>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</si>
  <si>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</si>
  <si>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</si>
  <si>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</si>
  <si>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</si>
  <si>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</si>
  <si>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</si>
  <si>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</si>
  <si>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</si>
  <si>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</si>
  <si>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</si>
  <si>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</si>
  <si>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</si>
  <si>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</si>
  <si>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</si>
  <si>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</si>
  <si>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</si>
  <si>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</si>
  <si>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</si>
  <si>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</si>
  <si>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</si>
  <si>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</si>
  <si>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</si>
  <si>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</si>
  <si>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</si>
  <si>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</si>
  <si>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</si>
  <si>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</si>
  <si>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</si>
  <si>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</si>
  <si>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</si>
  <si>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</si>
  <si>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</si>
  <si>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</si>
  <si>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  <family val="2"/>
        <charset val="177"/>
      </rPr>
      <t xml:space="preserve">, </t>
    </r>
    <r>
      <rPr>
        <sz val="12"/>
        <color theme="1"/>
        <rFont val="David"/>
        <family val="2"/>
        <charset val="177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</si>
  <si>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</si>
  <si>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</si>
  <si>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</si>
  <si>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</si>
  <si>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</si>
  <si>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</si>
  <si>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</si>
  <si>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  <family val="2"/>
        <charset val="177"/>
      </rPr>
      <t>המשולמת מראש</t>
    </r>
    <r>
      <rPr>
        <sz val="12"/>
        <color theme="1"/>
        <rFont val="David"/>
        <family val="2"/>
        <charset val="177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</si>
  <si>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</si>
  <si>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</si>
  <si>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</si>
  <si>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</si>
  <si>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</si>
  <si>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</si>
  <si>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</si>
  <si>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</si>
  <si>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</si>
  <si>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</si>
  <si>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</si>
  <si>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</si>
  <si>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</si>
  <si>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</si>
  <si>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</si>
  <si>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</si>
  <si>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</si>
  <si>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</si>
  <si>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</si>
  <si>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</si>
  <si>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</si>
  <si>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אם נתון </t>
    </r>
    <r>
      <rPr>
        <u/>
        <sz val="12"/>
        <color theme="1"/>
        <rFont val="David"/>
        <family val="2"/>
        <charset val="177"/>
      </rPr>
      <t>שהריבית האפקטיבית השנתית היא 9.5%</t>
    </r>
    <r>
      <rPr>
        <sz val="12"/>
        <color theme="1"/>
        <rFont val="David"/>
        <family val="2"/>
        <charset val="177"/>
      </rPr>
      <t xml:space="preserve"> (תשובה: 0.7592%)</t>
    </r>
  </si>
  <si>
    <r>
      <rPr>
        <b/>
        <sz val="12"/>
        <color rgb="FFFF0000"/>
        <rFont val="David"/>
        <family val="2"/>
        <charset val="177"/>
      </rPr>
      <t>הואיל והריבית הנתונה אפקטיבית</t>
    </r>
    <r>
      <rPr>
        <b/>
        <sz val="12"/>
        <color theme="1"/>
        <rFont val="David"/>
        <family val="2"/>
        <charset val="177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</si>
  <si>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</si>
  <si>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  <family val="2"/>
        <charset val="177"/>
      </rPr>
      <t xml:space="preserve">re = (1 + r)^(m) - 1 </t>
    </r>
    <r>
      <rPr>
        <sz val="12"/>
        <color theme="1"/>
        <rFont val="David"/>
        <family val="2"/>
        <charset val="177"/>
      </rPr>
      <t xml:space="preserve">= (1 + 9.5%)^(1/12) - 1 = </t>
    </r>
    <r>
      <rPr>
        <b/>
        <sz val="12"/>
        <color theme="1"/>
        <rFont val="David"/>
        <family val="2"/>
        <charset val="177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</si>
  <si>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</si>
  <si>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</si>
  <si>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</si>
  <si>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</si>
  <si>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</si>
  <si>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</si>
  <si>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</si>
  <si>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</si>
  <si>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</si>
  <si>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</si>
  <si>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</si>
  <si>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</si>
  <si>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</si>
  <si>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</si>
  <si>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</si>
  <si>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</si>
  <si>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</si>
  <si>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</si>
  <si>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</si>
  <si>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</si>
  <si>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</si>
  <si>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</si>
  <si>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</si>
  <si>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</si>
  <si>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</si>
  <si>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</si>
  <si>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</si>
  <si>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  <family val="2"/>
        <charset val="177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</si>
  <si>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  <family val="2"/>
        <charset val="177"/>
      </rPr>
      <t>עליכם לחשב את הריבית האפקטיבית השנתית</t>
    </r>
    <r>
      <rPr>
        <b/>
        <sz val="11"/>
        <color theme="1"/>
        <rFont val="David"/>
        <family val="2"/>
        <charset val="177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</si>
  <si>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  <family val="2"/>
        <charset val="177"/>
      </rPr>
      <t>Pt</t>
    </r>
    <r>
      <rPr>
        <b/>
        <sz val="11"/>
        <color theme="1"/>
        <rFont val="David"/>
        <family val="2"/>
        <charset val="177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</si>
  <si>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</si>
  <si>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</si>
  <si>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</si>
  <si>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</si>
  <si>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</si>
  <si>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</si>
  <si>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  <family val="2"/>
        <charset val="177"/>
      </rPr>
      <t>ללא</t>
    </r>
    <r>
      <rPr>
        <sz val="11"/>
        <color theme="1"/>
        <rFont val="David"/>
        <family val="2"/>
        <charset val="177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</si>
  <si>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</si>
  <si>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</si>
  <si>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</si>
  <si>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  <family val="2"/>
        <charset val="177"/>
      </rPr>
      <t>4,247</t>
    </r>
    <r>
      <rPr>
        <sz val="11"/>
        <color theme="1"/>
        <rFont val="David"/>
        <family val="2"/>
        <charset val="177"/>
      </rPr>
      <t xml:space="preserve"> / </t>
    </r>
    <r>
      <rPr>
        <b/>
        <sz val="11"/>
        <color rgb="FFFF0000"/>
        <rFont val="David"/>
        <family val="2"/>
        <charset val="177"/>
      </rPr>
      <t>3,920</t>
    </r>
    <r>
      <rPr>
        <sz val="11"/>
        <color theme="1"/>
        <rFont val="David"/>
        <family val="2"/>
        <charset val="177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</si>
  <si>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</si>
  <si>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</si>
  <si>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</si>
  <si>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  <family val="2"/>
        <charset val="177"/>
      </rPr>
      <t>הלוואה 1</t>
    </r>
    <r>
      <rPr>
        <sz val="11"/>
        <color theme="1"/>
        <rFont val="David"/>
        <family val="2"/>
        <charset val="177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</si>
  <si>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</si>
  <si>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</si>
  <si>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</si>
  <si>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</si>
  <si>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</si>
  <si>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</si>
  <si>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  <family val="2"/>
        <charset val="177"/>
      </rPr>
      <t>הנתון בסך 4,000 ש״ח - לא רלוונטי.</t>
    </r>
    <r>
      <rPr>
        <sz val="11"/>
        <color theme="1"/>
        <rFont val="David"/>
        <family val="2"/>
        <charset val="177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</si>
  <si>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</si>
  <si>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</si>
  <si>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</si>
  <si>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</si>
  <si>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</si>
  <si>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</si>
  <si>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</si>
  <si>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</si>
  <si>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</si>
  <si>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</si>
  <si>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</si>
  <si>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</si>
  <si>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</si>
  <si>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</si>
  <si>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</si>
  <si>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</si>
  <si>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</si>
  <si>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</si>
  <si>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</si>
  <si>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</si>
  <si>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</si>
  <si>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</si>
  <si>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</si>
  <si>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</si>
  <si>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</si>
  <si>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</si>
  <si>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</si>
  <si>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</si>
  <si>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</si>
  <si>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</si>
  <si>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</si>
  <si>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</si>
  <si>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</si>
  <si>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</si>
  <si>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</si>
  <si>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</si>
  <si>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</si>
  <si>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</si>
  <si>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</si>
  <si>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</si>
  <si>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</si>
  <si>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</si>
  <si>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</si>
  <si>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</si>
  <si>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</si>
  <si>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</si>
  <si>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</si>
  <si>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</si>
  <si>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</si>
  <si>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</si>
  <si>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</si>
  <si>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</si>
  <si>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</si>
  <si>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</si>
  <si>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</si>
  <si>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=(1+3.4%)^2 - 1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</si>
  <si>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</si>
  <si>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</si>
  <si>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</si>
  <si>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=(1+2%)^4 - 1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</si>
  <si>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=(1+6.5%/4)^4 - 1 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</si>
  <si>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</si>
  <si>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</si>
  <si>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</si>
  <si>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</si>
  <si>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</si>
  <si>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</si>
  <si>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</si>
  <si>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</si>
  <si>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</si>
  <si>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</si>
  <si>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</si>
  <si>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</si>
  <si>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</si>
  <si>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</si>
  <si>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</si>
  <si>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</si>
  <si>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</si>
  <si>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</si>
  <si>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</si>
  <si>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  <family val="2"/>
        <charset val="177"/>
      </rPr>
      <t>(940,000 - 2% * 940,000)</t>
    </r>
    <r>
      <rPr>
        <sz val="11"/>
        <color theme="1"/>
        <rFont val="David"/>
        <family val="2"/>
        <charset val="177"/>
      </rPr>
      <t>/</t>
    </r>
    <r>
      <rPr>
        <b/>
        <sz val="11"/>
        <color rgb="FFFF0000"/>
        <rFont val="David"/>
        <family val="2"/>
        <charset val="177"/>
      </rPr>
      <t>(940,000 - 25% * 940,000)</t>
    </r>
    <r>
      <rPr>
        <sz val="11"/>
        <color theme="1"/>
        <rFont val="David"/>
        <family val="2"/>
        <charset val="177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</si>
  <si>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</si>
  <si>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</si>
  <si>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</si>
  <si>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</si>
  <si>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</si>
  <si>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</si>
  <si>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  <family val="2"/>
        <charset val="177"/>
      </rPr>
      <t>921,200</t>
    </r>
    <r>
      <rPr>
        <sz val="11"/>
        <color theme="1"/>
        <rFont val="David"/>
        <family val="2"/>
        <charset val="177"/>
      </rPr>
      <t xml:space="preserve"> / </t>
    </r>
    <r>
      <rPr>
        <sz val="11"/>
        <color rgb="FFFF0000"/>
        <rFont val="David"/>
        <family val="2"/>
        <charset val="177"/>
      </rPr>
      <t>705,000</t>
    </r>
    <r>
      <rPr>
        <sz val="11"/>
        <color theme="1"/>
        <rFont val="David"/>
        <family val="2"/>
        <charset val="177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</si>
  <si>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</si>
  <si>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</si>
  <si>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</si>
  <si>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</si>
  <si>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</si>
  <si>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</si>
  <si>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</si>
  <si>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</si>
  <si>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</si>
  <si>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</si>
  <si>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</si>
  <si>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</si>
  <si>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</si>
  <si>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</si>
  <si>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</si>
  <si>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</si>
  <si>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</si>
  <si>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</si>
  <si>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</si>
  <si>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</si>
  <si>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</si>
  <si>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</si>
  <si>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</si>
  <si>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</si>
  <si>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</si>
  <si>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</si>
  <si>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</si>
  <si>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</si>
  <si>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</si>
  <si>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</si>
  <si>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</si>
  <si>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</si>
  <si>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</si>
  <si>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</si>
  <si>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</si>
  <si>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</si>
  <si>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</si>
  <si>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</si>
  <si>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</si>
  <si>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</si>
  <si>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</si>
  <si>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</si>
  <si>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</si>
  <si>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</si>
  <si>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</si>
  <si>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</si>
  <si>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</si>
  <si>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</si>
  <si>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</si>
  <si>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</si>
  <si>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</si>
  <si>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</si>
  <si>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</si>
  <si>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</si>
  <si>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</si>
  <si>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</si>
  <si>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</si>
  <si>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</si>
  <si>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</si>
  <si>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</si>
  <si>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</si>
  <si>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</si>
  <si>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</si>
  <si>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</si>
  <si>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</si>
  <si>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</si>
  <si>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</si>
  <si>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</si>
  <si>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</si>
  <si>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</si>
  <si>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</si>
  <si>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</si>
  <si>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</si>
  <si>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</si>
  <si>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</si>
  <si>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</si>
  <si>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</si>
  <si>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</si>
  <si>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</si>
  <si>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</si>
  <si>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</si>
  <si>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</si>
  <si>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</si>
  <si>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</si>
  <si>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</si>
  <si>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</si>
  <si>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</si>
  <si>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</si>
  <si>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</si>
  <si>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</si>
  <si>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</si>
  <si>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</si>
  <si>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</si>
  <si>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</si>
  <si>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</si>
  <si>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</si>
  <si>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</si>
  <si>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</si>
  <si>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התשלום החודשי הכולל הקבוע</t>
  </si>
  <si>
    <t>ברירת מחדל בשפיצר</t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</si>
  <si>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</si>
  <si>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</si>
  <si>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</si>
  <si>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</si>
  <si>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</si>
  <si>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</si>
  <si>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</si>
  <si>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t>ipmt</t>
  </si>
  <si>
    <t>פתרון ד - חישוב יתרת ההלוואה (יתרת סגירה, BAL) לאחר התשלום ה-33, פונקציית PV:</t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</si>
  <si>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</si>
  <si>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</si>
  <si>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</si>
  <si>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</si>
  <si>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</si>
  <si>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</si>
  <si>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</si>
  <si>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</si>
  <si>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</si>
  <si>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</si>
  <si>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</si>
  <si>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</si>
  <si>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>סכום ההלוואה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</si>
  <si>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</si>
  <si>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</si>
  <si>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</si>
  <si>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</si>
  <si>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</si>
  <si>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</si>
  <si>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</si>
  <si>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</si>
  <si>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</si>
  <si>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</si>
  <si>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</si>
  <si>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</si>
  <si>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  <family val="2"/>
        <charset val="177"/>
      </rPr>
      <t>האפקטיבית</t>
    </r>
    <r>
      <rPr>
        <sz val="12"/>
        <color theme="1"/>
        <rFont val="David"/>
        <family val="2"/>
        <charset val="177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</si>
  <si>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</si>
  <si>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</si>
  <si>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</si>
  <si>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</si>
  <si>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</si>
  <si>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</si>
  <si>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</si>
  <si>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</si>
  <si>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</si>
  <si>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</si>
  <si>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</si>
  <si>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</si>
  <si>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</si>
  <si>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</si>
  <si>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</si>
  <si>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</si>
  <si>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</si>
  <si>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</si>
  <si>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</si>
  <si>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</si>
  <si>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</si>
  <si>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</si>
  <si>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</si>
  <si>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</si>
  <si>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</si>
  <si>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</si>
  <si>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</si>
  <si>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</si>
  <si>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</si>
  <si>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</si>
  <si>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</si>
  <si>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</si>
  <si>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</si>
  <si>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</si>
  <si>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</si>
  <si>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</si>
  <si>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</si>
  <si>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</si>
  <si>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</si>
  <si>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</si>
  <si>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</si>
  <si>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</si>
  <si>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</si>
  <si>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</si>
  <si>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</si>
  <si>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</si>
  <si>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</si>
  <si>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</si>
  <si>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</si>
  <si>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</si>
  <si>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</si>
  <si>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</si>
  <si>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</si>
  <si>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</si>
  <si>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</si>
  <si>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</si>
  <si>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</si>
  <si>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</si>
  <si>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</si>
  <si>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</si>
  <si>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</si>
  <si>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</si>
  <si>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</si>
  <si>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</si>
  <si>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</si>
  <si>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</si>
  <si>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</si>
  <si>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</si>
  <si>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</si>
  <si>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</si>
  <si>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</si>
  <si>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</si>
  <si>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</si>
  <si>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</si>
  <si>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</si>
  <si>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</si>
  <si>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</si>
  <si>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</si>
  <si>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</si>
  <si>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</si>
  <si>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</si>
  <si>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</si>
  <si>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</si>
  <si>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</si>
  <si>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</si>
  <si>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</si>
  <si>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</si>
  <si>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</si>
  <si>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</si>
  <si>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</si>
  <si>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</si>
  <si>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</si>
  <si>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</si>
  <si>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</si>
  <si>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</si>
  <si>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</si>
  <si>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</si>
  <si>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</si>
  <si>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</si>
  <si>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</si>
  <si>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</si>
  <si>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</si>
  <si>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</si>
  <si>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</si>
  <si>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</si>
  <si>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</si>
  <si>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  <family val="2"/>
        <charset val="177"/>
      </rPr>
      <t>לוח שפיצר</t>
    </r>
    <r>
      <rPr>
        <sz val="11"/>
        <color theme="1"/>
        <rFont val="David"/>
        <family val="2"/>
        <charset val="177"/>
      </rPr>
      <t xml:space="preserve"> ולוח </t>
    </r>
    <r>
      <rPr>
        <u/>
        <sz val="11"/>
        <color theme="1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.</t>
    </r>
  </si>
  <si>
    <r>
      <t xml:space="preserve">בלוח </t>
    </r>
    <r>
      <rPr>
        <sz val="11"/>
        <color rgb="FFFF0000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 - שנקרא בדרך כלל במבחנים ״</t>
    </r>
    <r>
      <rPr>
        <sz val="11"/>
        <color rgb="FFFF0000"/>
        <rFont val="David"/>
        <family val="2"/>
        <charset val="177"/>
      </rPr>
      <t>תשלומים שווים של קרן וריבית</t>
    </r>
    <r>
      <rPr>
        <sz val="11"/>
        <color theme="1"/>
        <rFont val="David"/>
        <family val="2"/>
        <charset val="177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</si>
  <si>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  <family val="2"/>
        <charset val="177"/>
      </rPr>
      <t>רגיל</t>
    </r>
    <r>
      <rPr>
        <sz val="11"/>
        <color theme="1"/>
        <rFont val="David"/>
        <family val="2"/>
        <charset val="177"/>
      </rPr>
      <t>״ שנקרא בדרך כלל בשאלות במבחנים ״</t>
    </r>
    <r>
      <rPr>
        <sz val="11"/>
        <color rgb="FF00B0F0"/>
        <rFont val="David"/>
        <family val="2"/>
        <charset val="177"/>
      </rPr>
      <t>החזרי קרן שווים</t>
    </r>
    <r>
      <rPr>
        <sz val="11"/>
        <color theme="1"/>
        <rFont val="David"/>
        <family val="2"/>
        <charset val="177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</si>
  <si>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</si>
  <si>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</si>
  <si>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</si>
  <si>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</si>
  <si>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</si>
  <si>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</si>
  <si>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</si>
  <si>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</si>
  <si>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</si>
  <si>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</si>
  <si>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</si>
  <si>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</si>
  <si>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</si>
  <si>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</si>
  <si>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</si>
  <si>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</si>
  <si>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</si>
  <si>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</si>
  <si>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</si>
  <si>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</si>
  <si>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</si>
  <si>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</si>
  <si>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</si>
  <si>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</si>
  <si>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</si>
  <si>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</si>
  <si>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</si>
  <si>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</si>
  <si>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</si>
  <si>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</si>
  <si>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</si>
  <si>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</si>
  <si>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</si>
  <si>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</si>
  <si>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</si>
  <si>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</si>
  <si>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</si>
  <si>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</si>
  <si>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  <family val="2"/>
        <charset val="177"/>
      </rPr>
      <t>בתשלומים חודשיים שווים</t>
    </r>
    <r>
      <rPr>
        <sz val="11"/>
        <color theme="1"/>
        <rFont val="David"/>
        <family val="2"/>
        <charset val="177"/>
      </rPr>
      <t xml:space="preserve"> בתקופה של 5 שנים, </t>
    </r>
    <r>
      <rPr>
        <b/>
        <sz val="11"/>
        <color rgb="FFFF0000"/>
        <rFont val="David"/>
        <family val="2"/>
        <charset val="177"/>
      </rPr>
      <t>אך התשלום הראשון יבוצע בתום החודש ה-6</t>
    </r>
    <r>
      <rPr>
        <sz val="11"/>
        <color theme="1"/>
        <rFont val="David"/>
        <family val="2"/>
        <charset val="177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</si>
  <si>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</si>
  <si>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</si>
  <si>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</si>
  <si>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</si>
  <si>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</si>
  <si>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  <family val="2"/>
        <charset val="177"/>
      </rPr>
      <t>יתרת ההלוואה כולל הריבית הצבורה</t>
    </r>
    <r>
      <rPr>
        <sz val="11"/>
        <color theme="1"/>
        <rFont val="David"/>
        <family val="2"/>
        <charset val="177"/>
      </rPr>
      <t xml:space="preserve">, עד לנקודת הזמן שהיא </t>
    </r>
    <r>
      <rPr>
        <u/>
        <sz val="11"/>
        <color theme="1"/>
        <rFont val="David"/>
        <family val="2"/>
        <charset val="177"/>
      </rPr>
      <t>תקופה אחת לפני מועד ההחזר הראשון</t>
    </r>
    <r>
      <rPr>
        <sz val="11"/>
        <color theme="1"/>
        <rFont val="David"/>
        <family val="2"/>
        <charset val="177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</si>
  <si>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</si>
  <si>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</si>
  <si>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</si>
  <si>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</si>
  <si>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</si>
  <si>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</si>
  <si>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</si>
  <si>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</si>
  <si>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</si>
  <si>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</si>
  <si>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</si>
  <si>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</si>
  <si>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</si>
  <si>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</si>
  <si>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  <family val="2"/>
        <charset val="177"/>
      </rPr>
      <t>INT(6)</t>
    </r>
    <r>
      <rPr>
        <sz val="11"/>
        <color theme="1"/>
        <rFont val="David"/>
        <family val="2"/>
        <charset val="177"/>
      </rPr>
      <t xml:space="preserve"> + PRN</t>
    </r>
  </si>
  <si>
    <r>
      <t xml:space="preserve">PMT(6) = </t>
    </r>
    <r>
      <rPr>
        <sz val="11"/>
        <color rgb="FFFF0000"/>
        <rFont val="David"/>
        <family val="2"/>
        <charset val="177"/>
      </rPr>
      <t>210,202 * 1%</t>
    </r>
    <r>
      <rPr>
        <sz val="11"/>
        <color theme="1"/>
        <rFont val="David"/>
        <family val="2"/>
        <charset val="177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</si>
  <si>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</si>
  <si>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  <family val="2"/>
        <charset val="177"/>
      </rPr>
      <t>INT(9)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PRN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</si>
  <si>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</si>
  <si>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</si>
  <si>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</si>
  <si>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</si>
  <si>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</si>
  <si>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</si>
  <si>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</si>
  <si>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</si>
  <si>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</si>
  <si>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</si>
  <si>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</si>
  <si>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</si>
  <si>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</si>
  <si>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</si>
  <si>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</si>
  <si>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</si>
  <si>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</si>
  <si>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</si>
  <si>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</si>
  <si>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</si>
  <si>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  <family val="2"/>
        <charset val="177"/>
      </rPr>
      <t>הצמדה</t>
    </r>
    <r>
      <rPr>
        <sz val="11"/>
        <color theme="1"/>
        <rFont val="David"/>
        <family val="2"/>
        <charset val="177"/>
      </rPr>
      <t>, בין אם למדד</t>
    </r>
  </si>
  <si>
    <r>
      <rPr>
        <b/>
        <sz val="11"/>
        <color theme="1"/>
        <rFont val="David"/>
        <family val="2"/>
        <charset val="177"/>
      </rPr>
      <t>המחירים לצרכן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למדד תשומות הבנייה</t>
    </r>
    <r>
      <rPr>
        <sz val="11"/>
        <color theme="1"/>
        <rFont val="David"/>
        <family val="2"/>
        <charset val="177"/>
      </rPr>
      <t xml:space="preserve"> או </t>
    </r>
    <r>
      <rPr>
        <b/>
        <sz val="11"/>
        <color theme="1"/>
        <rFont val="David"/>
        <family val="2"/>
        <charset val="177"/>
      </rPr>
      <t>לכל נכס / בסיס הצמדה אחר</t>
    </r>
    <r>
      <rPr>
        <sz val="11"/>
        <color theme="1"/>
        <rFont val="David"/>
        <family val="2"/>
        <charset val="177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</si>
  <si>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</si>
  <si>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</si>
  <si>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</si>
  <si>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</si>
  <si>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</si>
  <si>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</si>
  <si>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</si>
  <si>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</si>
  <si>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</si>
  <si>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</si>
  <si>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</si>
  <si>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</si>
  <si>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</si>
  <si>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</si>
  <si>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</si>
  <si>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</si>
  <si>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</si>
  <si>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</si>
  <si>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</si>
  <si>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</si>
  <si>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</si>
  <si>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</si>
  <si>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</si>
  <si>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</si>
  <si>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</si>
  <si>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</si>
  <si>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</si>
  <si>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</si>
  <si>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</si>
  <si>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</si>
  <si>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</si>
  <si>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</si>
  <si>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</si>
  <si>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</si>
  <si>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</si>
  <si>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</si>
  <si>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</si>
  <si>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</si>
  <si>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</si>
  <si>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</si>
  <si>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</si>
  <si>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</si>
  <si>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</si>
  <si>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</si>
  <si>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</si>
  <si>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</si>
  <si>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  <family val="2"/>
        <charset val="177"/>
      </rPr>
      <t>ריאלית</t>
    </r>
    <r>
      <rPr>
        <sz val="11"/>
        <color theme="1"/>
        <rFont val="David"/>
        <family val="2"/>
        <charset val="177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</si>
  <si>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</si>
  <si>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</si>
  <si>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</si>
  <si>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</si>
  <si>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  <family val="2"/>
        <charset val="177"/>
      </rPr>
      <t>נומינלית</t>
    </r>
    <r>
      <rPr>
        <sz val="11"/>
        <color theme="1"/>
        <rFont val="David"/>
        <family val="2"/>
        <charset val="177"/>
      </rPr>
      <t xml:space="preserve">, זה אומר שהשיעור שלה באחוזים הוא התוספת </t>
    </r>
    <r>
      <rPr>
        <b/>
        <sz val="11"/>
        <color theme="1"/>
        <rFont val="David"/>
        <family val="2"/>
        <charset val="177"/>
      </rPr>
      <t>הכספית</t>
    </r>
    <r>
      <rPr>
        <sz val="11"/>
        <color theme="1"/>
        <rFont val="David"/>
        <family val="2"/>
        <charset val="177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</si>
  <si>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</si>
  <si>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</si>
  <si>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</si>
  <si>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</si>
  <si>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</si>
  <si>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</si>
  <si>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</si>
  <si>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</si>
  <si>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</si>
  <si>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</si>
  <si>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</si>
  <si>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</si>
  <si>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</si>
  <si>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א. בהנחה שההלוואה צמודה, מה יהיה התשלום ה-1 לבנק אם המדד עלה בחודש הראשון ב-1.1%?</t>
  </si>
  <si>
    <t>ג.  מהי יתרת החוב למועד זה?</t>
  </si>
  <si>
    <r>
      <rPr>
        <b/>
        <sz val="11"/>
        <color theme="1"/>
        <rFont val="David"/>
        <family val="2"/>
        <charset val="177"/>
      </rPr>
      <t>פתרון סעיף א</t>
    </r>
    <r>
      <rPr>
        <sz val="11"/>
        <color theme="1"/>
        <rFont val="David"/>
        <family val="2"/>
        <charset val="177"/>
      </rPr>
      <t xml:space="preserve"> - אם המדד עולה בחודש ה-1 ב-1.1% התשלום הכולל יהיה:</t>
    </r>
  </si>
  <si>
    <t xml:space="preserve">3,597.89 * (1 + 1.1%) = </t>
  </si>
  <si>
    <t xml:space="preserve">פתרון סעיף ג - 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</si>
  <si>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</si>
  <si>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</si>
  <si>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</si>
  <si>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</si>
  <si>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</si>
  <si>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</si>
  <si>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</si>
  <si>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</si>
  <si>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</si>
  <si>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</si>
  <si>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</si>
  <si>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</si>
  <si>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</si>
  <si>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</si>
  <si>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</si>
  <si>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</si>
  <si>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</si>
  <si>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</si>
  <si>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</si>
  <si>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</si>
  <si>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</si>
  <si>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</si>
  <si>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</si>
  <si>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</si>
  <si>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</si>
  <si>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</si>
  <si>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</si>
  <si>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</si>
  <si>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</si>
  <si>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</si>
  <si>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</si>
  <si>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</si>
  <si>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</si>
  <si>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</si>
  <si>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</si>
  <si>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</si>
  <si>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</si>
  <si>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</si>
  <si>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</si>
  <si>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</si>
  <si>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</si>
  <si>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</si>
  <si>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</si>
  <si>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</si>
  <si>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</si>
  <si>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</si>
  <si>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</si>
  <si>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</si>
  <si>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</si>
  <si>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</si>
  <si>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</si>
  <si>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</si>
  <si>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</si>
  <si>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</si>
  <si>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</si>
  <si>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</si>
  <si>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</si>
  <si>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</si>
  <si>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</si>
  <si>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</si>
  <si>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</si>
  <si>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</si>
  <si>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</si>
  <si>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</si>
  <si>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</si>
  <si>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</si>
  <si>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</si>
  <si>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</si>
  <si>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</si>
  <si>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</si>
  <si>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</si>
  <si>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</si>
  <si>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</si>
  <si>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</si>
  <si>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</si>
  <si>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</si>
  <si>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</si>
  <si>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</si>
  <si>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</si>
  <si>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</si>
  <si>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</si>
  <si>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</si>
  <si>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</si>
  <si>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</si>
  <si>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</si>
  <si>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</si>
  <si>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</si>
  <si>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</si>
  <si>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</si>
  <si>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</si>
  <si>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</si>
  <si>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</si>
  <si>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</si>
  <si>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</si>
  <si>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</si>
  <si>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</si>
  <si>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</si>
  <si>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</si>
  <si>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</si>
  <si>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</si>
  <si>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</si>
  <si>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</si>
  <si>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</si>
  <si>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</si>
  <si>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</si>
  <si>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</si>
  <si>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  <family val="2"/>
        <charset val="177"/>
      </rPr>
      <t>הערך הנוכחי הנקי - ענ״נ או NPV = Net Present Value</t>
    </r>
    <r>
      <rPr>
        <sz val="11"/>
        <color theme="1"/>
        <rFont val="David"/>
        <family val="2"/>
        <charset val="177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</si>
  <si>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</si>
  <si>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  <family val="2"/>
        <charset val="177"/>
      </rPr>
      <t>שיעור התשואה הפנימי - שת״פ או IRR - Internal Rate of Return</t>
    </r>
    <r>
      <rPr>
        <sz val="11"/>
        <color theme="1"/>
        <rFont val="David"/>
        <family val="2"/>
        <charset val="177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</si>
  <si>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</si>
  <si>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  <family val="2"/>
        <charset val="177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</si>
  <si>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</si>
  <si>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</si>
  <si>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</si>
  <si>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</si>
  <si>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</si>
  <si>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</si>
  <si>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</si>
  <si>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</si>
  <si>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</si>
  <si>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</si>
  <si>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</si>
  <si>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</si>
  <si>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</si>
  <si>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</si>
  <si>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</si>
  <si>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</si>
  <si>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</si>
  <si>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</si>
  <si>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</si>
  <si>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</si>
  <si>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  <family val="2"/>
        <charset val="177"/>
      </rPr>
      <t>הדגמה לצרכי הבנה שלא מחייבת לבחינה</t>
    </r>
    <r>
      <rPr>
        <sz val="11"/>
        <color theme="1"/>
        <rFont val="David"/>
        <family val="2"/>
        <charset val="177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</si>
  <si>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</si>
  <si>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</si>
  <si>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</si>
  <si>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</si>
  <si>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</si>
  <si>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</si>
  <si>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</si>
  <si>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</si>
  <si>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</si>
  <si>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</si>
  <si>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</si>
  <si>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</si>
  <si>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</si>
  <si>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</si>
  <si>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</si>
  <si>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</si>
  <si>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</si>
  <si>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</si>
  <si>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</si>
  <si>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</si>
  <si>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</si>
  <si>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</si>
  <si>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</si>
  <si>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  <family val="2"/>
        <charset val="177"/>
      </rPr>
      <t>לא</t>
    </r>
    <r>
      <rPr>
        <sz val="11"/>
        <color theme="1"/>
        <rFont val="David"/>
        <family val="2"/>
        <charset val="177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</si>
  <si>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</si>
  <si>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</si>
  <si>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  <family val="2"/>
        <charset val="177"/>
      </rPr>
      <t>איננו</t>
    </r>
    <r>
      <rPr>
        <sz val="11"/>
        <color theme="1"/>
        <rFont val="David"/>
        <family val="2"/>
        <charset val="177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</si>
  <si>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</si>
  <si>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</si>
  <si>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</si>
  <si>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</si>
  <si>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</si>
  <si>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</si>
  <si>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</si>
  <si>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</si>
  <si>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</si>
  <si>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</si>
  <si>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</si>
  <si>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</si>
  <si>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</si>
  <si>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</si>
  <si>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</si>
  <si>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</si>
  <si>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</si>
  <si>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</si>
  <si>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</si>
  <si>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</si>
  <si>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</si>
  <si>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</si>
  <si>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</si>
  <si>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</si>
  <si>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</si>
  <si>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</si>
  <si>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</si>
  <si>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</si>
  <si>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</si>
  <si>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</si>
  <si>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</si>
  <si>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</si>
  <si>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</si>
  <si>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</si>
  <si>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</si>
  <si>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</si>
  <si>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</si>
  <si>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</si>
  <si>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</si>
  <si>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</si>
  <si>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</si>
  <si>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</si>
  <si>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</si>
  <si>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</si>
  <si>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</si>
  <si>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</si>
  <si>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</si>
  <si>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</si>
  <si>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</si>
  <si>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</si>
  <si>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</si>
  <si>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</si>
  <si>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</si>
  <si>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</si>
  <si>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</si>
  <si>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</si>
  <si>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</si>
  <si>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</si>
  <si>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</si>
  <si>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</si>
  <si>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</si>
  <si>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</si>
  <si>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</si>
  <si>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</si>
  <si>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</si>
  <si>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</si>
  <si>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</si>
  <si>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</si>
  <si>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</si>
  <si>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</si>
  <si>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</si>
  <si>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</si>
  <si>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</si>
  <si>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</si>
  <si>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</si>
  <si>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</si>
  <si>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</si>
  <si>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</si>
  <si>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</si>
  <si>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</si>
  <si>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</si>
  <si>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</si>
  <si>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</si>
  <si>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</si>
  <si>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</si>
  <si>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</si>
  <si>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</si>
  <si>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</si>
  <si>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</si>
  <si>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</si>
  <si>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</si>
  <si>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</si>
  <si>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</si>
  <si>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</si>
  <si>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</si>
  <si>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</si>
  <si>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</si>
  <si>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</si>
  <si>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</si>
  <si>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</si>
  <si>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</si>
  <si>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</si>
  <si>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</si>
  <si>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</si>
  <si>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</si>
  <si>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</si>
  <si>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</si>
  <si>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</si>
  <si>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</si>
  <si>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</si>
  <si>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</si>
  <si>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</si>
  <si>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</si>
  <si>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</si>
  <si>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</si>
  <si>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  <family val="2"/>
        <charset val="177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</si>
  <si>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</si>
  <si>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</si>
  <si>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</si>
  <si>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</si>
  <si>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</si>
  <si>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</si>
  <si>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</si>
  <si>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</si>
  <si>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</si>
  <si>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</si>
  <si>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</si>
  <si>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</si>
  <si>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</si>
  <si>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</si>
  <si>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</si>
  <si>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</si>
  <si>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</si>
  <si>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</si>
  <si>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</si>
  <si>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</si>
  <si>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</si>
  <si>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</si>
  <si>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</si>
  <si>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</si>
  <si>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</si>
  <si>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</si>
  <si>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</si>
  <si>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</si>
  <si>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</si>
  <si>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</si>
  <si>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</si>
  <si>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</si>
  <si>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</si>
  <si>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</si>
  <si>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</si>
  <si>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</si>
  <si>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</si>
  <si>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</si>
  <si>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</si>
  <si>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</si>
  <si>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</si>
  <si>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</si>
  <si>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</si>
  <si>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</si>
  <si>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</si>
  <si>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</si>
  <si>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</si>
  <si>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</si>
  <si>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</si>
  <si>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</si>
  <si>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</si>
  <si>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</si>
  <si>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</si>
  <si>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</si>
  <si>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</si>
  <si>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</si>
  <si>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</si>
  <si>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</si>
  <si>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</si>
  <si>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</si>
  <si>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</si>
  <si>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</si>
  <si>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</si>
  <si>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</si>
  <si>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</si>
  <si>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</si>
  <si>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</si>
  <si>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</si>
  <si>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</si>
  <si>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</si>
  <si>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</si>
  <si>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</si>
  <si>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</si>
  <si>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</si>
  <si>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</si>
  <si>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</si>
  <si>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</si>
  <si>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</si>
  <si>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</si>
  <si>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</si>
  <si>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</si>
  <si>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</si>
  <si>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</si>
  <si>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</si>
  <si>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</si>
  <si>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</si>
  <si>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</si>
  <si>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</si>
  <si>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</si>
  <si>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</si>
  <si>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</si>
  <si>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</si>
  <si>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</si>
  <si>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</si>
  <si>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</si>
  <si>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</si>
  <si>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</si>
  <si>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</si>
  <si>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</si>
  <si>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</si>
  <si>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</si>
  <si>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</si>
  <si>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</si>
  <si>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</si>
  <si>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</si>
  <si>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</si>
  <si>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</si>
  <si>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</si>
  <si>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</si>
  <si>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</si>
  <si>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</si>
  <si>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</si>
  <si>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</si>
  <si>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</si>
  <si>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</si>
  <si>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</si>
  <si>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</si>
  <si>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</si>
  <si>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</si>
  <si>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</si>
  <si>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</si>
  <si>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</si>
  <si>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</si>
  <si>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</si>
  <si>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</si>
  <si>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</si>
  <si>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</si>
  <si>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</si>
  <si>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</si>
  <si>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  <family val="2"/>
        <charset val="177"/>
      </rPr>
      <t>השיעורים</t>
    </r>
    <r>
      <rPr>
        <sz val="11"/>
        <color theme="1"/>
        <rFont val="David"/>
        <family val="2"/>
        <charset val="177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</si>
  <si>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</si>
  <si>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</si>
  <si>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</si>
  <si>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</si>
  <si>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</si>
  <si>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</si>
  <si>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</si>
  <si>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</si>
  <si>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</si>
  <si>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</si>
  <si>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  <family val="2"/>
        <charset val="177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</si>
  <si>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  <family val="2"/>
        <charset val="177"/>
      </rPr>
      <t>חודשית של 1% לחודש, לפי: 1% =1 - (1/12)^(12.68% + 1).</t>
    </r>
    <r>
      <rPr>
        <sz val="11"/>
        <color theme="1"/>
        <rFont val="David"/>
        <family val="2"/>
        <charset val="177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</si>
  <si>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</si>
  <si>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</si>
  <si>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</si>
  <si>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</si>
  <si>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</si>
  <si>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</si>
  <si>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</si>
  <si>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</si>
  <si>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</si>
  <si>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</si>
  <si>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</si>
  <si>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</si>
  <si>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</si>
  <si>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</si>
  <si>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</si>
  <si>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</si>
  <si>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</si>
  <si>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</si>
  <si>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</si>
  <si>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</si>
  <si>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</si>
  <si>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</si>
  <si>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</si>
  <si>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</si>
  <si>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</si>
  <si>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</si>
  <si>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</si>
  <si>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</si>
  <si>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</si>
  <si>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</si>
  <si>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</si>
  <si>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</si>
  <si>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</si>
  <si>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</si>
  <si>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</si>
  <si>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</si>
  <si>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</si>
  <si>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</si>
  <si>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</si>
  <si>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</si>
  <si>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</si>
  <si>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</si>
  <si>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</si>
  <si>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</si>
  <si>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</si>
  <si>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</si>
  <si>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</si>
  <si>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</si>
  <si>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</si>
  <si>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</si>
  <si>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</si>
  <si>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</si>
  <si>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</si>
  <si>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</si>
  <si>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  <family val="2"/>
        <charset val="177"/>
      </rPr>
      <t>שכאן</t>
    </r>
    <r>
      <rPr>
        <b/>
        <sz val="11"/>
        <color theme="1"/>
        <rFont val="David"/>
        <family val="2"/>
        <charset val="177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</si>
  <si>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</si>
  <si>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</si>
  <si>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</si>
  <si>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</si>
  <si>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</si>
  <si>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</si>
  <si>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</si>
  <si>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</si>
  <si>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</si>
  <si>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</si>
  <si>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</si>
  <si>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</si>
  <si>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</si>
  <si>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</si>
  <si>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</si>
  <si>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</si>
  <si>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</si>
  <si>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</si>
  <si>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</si>
  <si>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</si>
  <si>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</si>
  <si>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  <family val="2"/>
        <charset val="177"/>
      </rPr>
      <t>R/n</t>
    </r>
    <r>
      <rPr>
        <sz val="11"/>
        <color theme="1"/>
        <rFont val="David"/>
        <family val="2"/>
        <charset val="177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</si>
  <si>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</si>
  <si>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</si>
  <si>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</si>
  <si>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</si>
  <si>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</si>
  <si>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</si>
  <si>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</si>
  <si>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</si>
  <si>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</si>
  <si>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</si>
  <si>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</si>
  <si>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</si>
  <si>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</si>
  <si>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  <family val="2"/>
        <charset val="177"/>
      </rPr>
      <t>לתקופת העסקה</t>
    </r>
    <r>
      <rPr>
        <sz val="11"/>
        <color theme="1"/>
        <rFont val="David"/>
        <family val="2"/>
        <charset val="177"/>
      </rPr>
      <t>: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</si>
  <si>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</si>
  <si>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</si>
  <si>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</si>
  <si>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</si>
  <si>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</si>
  <si>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</si>
  <si>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</si>
  <si>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</si>
  <si>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</si>
  <si>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</si>
  <si>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</si>
  <si>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</si>
  <si>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</si>
  <si>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</si>
  <si>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</si>
  <si>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</si>
  <si>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</si>
  <si>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</si>
  <si>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</si>
  <si>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</si>
  <si>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</si>
  <si>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</si>
  <si>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</si>
  <si>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</si>
  <si>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</si>
  <si>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</si>
  <si>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</si>
  <si>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</si>
  <si>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</si>
  <si>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</si>
  <si>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</si>
  <si>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</si>
  <si>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</si>
  <si>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</si>
  <si>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</si>
  <si>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</si>
  <si>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</si>
  <si>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</si>
  <si>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</si>
  <si>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</si>
  <si>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</si>
  <si>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</si>
  <si>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</si>
  <si>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</si>
  <si>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</si>
  <si>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</si>
  <si>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</si>
  <si>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</si>
  <si>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</si>
  <si>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</si>
  <si>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</si>
  <si>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</si>
  <si>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</si>
  <si>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</si>
  <si>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</si>
  <si>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</si>
  <si>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</si>
  <si>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</si>
  <si>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</si>
  <si>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</si>
  <si>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</si>
  <si>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</si>
  <si>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</si>
  <si>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</si>
  <si>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</si>
  <si>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</si>
  <si>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</si>
  <si>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</si>
  <si>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</si>
  <si>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</si>
  <si>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</si>
  <si>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</si>
  <si>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</si>
  <si>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</si>
  <si>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</si>
  <si>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</si>
  <si>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</si>
  <si>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</si>
  <si>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</si>
  <si>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</si>
  <si>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</si>
  <si>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</si>
  <si>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</si>
  <si>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</si>
  <si>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</si>
  <si>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</si>
  <si>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</si>
  <si>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</si>
  <si>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</si>
  <si>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</si>
  <si>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</si>
  <si>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</si>
  <si>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</si>
  <si>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</si>
  <si>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</si>
  <si>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</si>
  <si>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</si>
  <si>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</si>
  <si>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</si>
  <si>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</si>
  <si>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</si>
  <si>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</si>
  <si>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</si>
  <si>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</si>
  <si>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</si>
  <si>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</si>
  <si>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</si>
  <si>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</si>
  <si>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  <family val="2"/>
        <charset val="177"/>
      </rPr>
      <t>הערך המירבי של הענ״נ</t>
    </r>
    <r>
      <rPr>
        <sz val="11"/>
        <color theme="1"/>
        <rFont val="David"/>
        <family val="2"/>
        <charset val="177"/>
      </rPr>
      <t xml:space="preserve"> - שגרפית</t>
    </r>
  </si>
  <si>
    <r>
      <t xml:space="preserve">לימין, </t>
    </r>
    <r>
      <rPr>
        <b/>
        <sz val="11"/>
        <color rgb="FFFF0000"/>
        <rFont val="David"/>
        <family val="2"/>
        <charset val="177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</si>
  <si>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</si>
  <si>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</si>
  <si>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</si>
  <si>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</si>
  <si>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</si>
  <si>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</si>
  <si>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</si>
  <si>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</si>
  <si>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</si>
  <si>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  <family val="2"/>
        <charset val="177"/>
      </rPr>
      <t>PI</t>
    </r>
    <r>
      <rPr>
        <sz val="11"/>
        <rFont val="David"/>
        <family val="2"/>
        <charset val="177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</si>
  <si>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</si>
  <si>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</si>
  <si>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</si>
  <si>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</si>
  <si>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  <family val="2"/>
        <charset val="177"/>
      </rPr>
      <t xml:space="preserve">לפי הנחיית המסלול </t>
    </r>
    <r>
      <rPr>
        <sz val="11"/>
        <color theme="1"/>
        <rFont val="David"/>
        <family val="2"/>
        <charset val="177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</si>
  <si>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</si>
  <si>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</si>
  <si>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</si>
  <si>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1-2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</si>
  <si>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3-4</t>
    </r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</si>
  <si>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</si>
  <si>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</si>
  <si>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</si>
  <si>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</si>
  <si>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</si>
  <si>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</si>
  <si>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</si>
  <si>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</si>
  <si>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</si>
  <si>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</si>
  <si>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</si>
  <si>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</si>
  <si>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</si>
  <si>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</si>
  <si>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</si>
  <si>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</si>
  <si>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</si>
  <si>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</si>
  <si>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</si>
  <si>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</si>
  <si>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</si>
  <si>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</si>
  <si>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</si>
  <si>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</si>
  <si>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</si>
  <si>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</si>
  <si>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</si>
  <si>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</si>
  <si>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</si>
  <si>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</si>
  <si>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</si>
  <si>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</si>
  <si>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</si>
  <si>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</si>
  <si>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</si>
  <si>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</si>
  <si>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</si>
  <si>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</si>
  <si>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</si>
  <si>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</si>
  <si>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</si>
  <si>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  <family val="2"/>
        <charset val="177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</si>
  <si>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</si>
  <si>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</si>
  <si>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</si>
  <si>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  <family val="2"/>
        <charset val="177"/>
      </rPr>
      <t>בשיטת ריבית פשוטה</t>
    </r>
    <r>
      <rPr>
        <sz val="11"/>
        <color theme="1"/>
        <rFont val="David"/>
        <family val="2"/>
        <charset val="177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</si>
  <si>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</si>
  <si>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</si>
  <si>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</si>
  <si>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</si>
  <si>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</si>
  <si>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</si>
  <si>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</si>
  <si>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  <family val="2"/>
        <charset val="177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</si>
  <si>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</si>
  <si>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</si>
  <si>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</si>
  <si>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</si>
  <si>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</si>
  <si>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</si>
  <si>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</si>
  <si>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</si>
  <si>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</si>
  <si>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</si>
  <si>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</si>
  <si>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</si>
  <si>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</si>
  <si>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</si>
  <si>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</si>
  <si>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</si>
  <si>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</si>
  <si>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</si>
  <si>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</si>
  <si>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</si>
  <si>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  <family val="2"/>
        <charset val="177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</si>
  <si>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</si>
  <si>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</si>
  <si>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</si>
  <si>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</si>
  <si>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</si>
  <si>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</si>
  <si>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</si>
  <si>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</si>
  <si>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</si>
  <si>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</si>
  <si>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</si>
  <si>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</si>
  <si>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</si>
  <si>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</si>
  <si>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</si>
  <si>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</si>
  <si>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</si>
  <si>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</si>
  <si>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</si>
  <si>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</si>
  <si>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</si>
  <si>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</si>
  <si>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</si>
  <si>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</si>
  <si>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</si>
  <si>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</si>
  <si>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</si>
  <si>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</si>
  <si>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</si>
  <si>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</si>
  <si>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</si>
  <si>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</si>
  <si>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</si>
  <si>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</si>
  <si>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</si>
  <si>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</si>
  <si>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</si>
  <si>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</si>
  <si>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</si>
  <si>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</si>
  <si>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</si>
  <si>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</si>
  <si>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</si>
  <si>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</si>
  <si>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</si>
  <si>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</si>
  <si>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</si>
  <si>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</si>
  <si>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</si>
  <si>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</si>
  <si>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</si>
  <si>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</si>
  <si>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</si>
  <si>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</si>
  <si>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</si>
  <si>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</si>
  <si>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</si>
  <si>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</si>
  <si>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</si>
  <si>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</si>
  <si>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</si>
  <si>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</si>
  <si>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</si>
  <si>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  <family val="2"/>
        <charset val="177"/>
      </rPr>
      <t xml:space="preserve">מחליטה להפקיד </t>
    </r>
    <r>
      <rPr>
        <b/>
        <u/>
        <sz val="16"/>
        <color rgb="FFFF0000"/>
        <rFont val="David"/>
        <family val="2"/>
        <charset val="177"/>
      </rPr>
      <t>כל חודש</t>
    </r>
    <r>
      <rPr>
        <b/>
        <u/>
        <sz val="16"/>
        <rFont val="David"/>
        <family val="2"/>
        <charset val="177"/>
      </rPr>
      <t xml:space="preserve"> סכום קבוע</t>
    </r>
    <r>
      <rPr>
        <sz val="16"/>
        <rFont val="David"/>
        <family val="2"/>
        <charset val="177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</si>
  <si>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</si>
  <si>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</si>
  <si>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</si>
  <si>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</si>
  <si>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</si>
  <si>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</si>
  <si>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</si>
  <si>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</si>
  <si>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</si>
  <si>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</si>
  <si>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</si>
  <si>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</si>
  <si>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</si>
  <si>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</si>
  <si>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</si>
  <si>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</si>
  <si>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</si>
  <si>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</si>
  <si>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</si>
  <si>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</si>
  <si>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</si>
  <si>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</si>
  <si>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</si>
  <si>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</si>
  <si>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</si>
  <si>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</si>
  <si>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</si>
  <si>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</si>
  <si>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r>
      <t>במקרה הכללי (אם לא נאמר אחרת): בחירה בין חלופות כספיות (״</t>
    </r>
    <r>
      <rPr>
        <u/>
        <sz val="12"/>
        <color theme="1"/>
        <rFont val="David"/>
        <family val="2"/>
        <charset val="177"/>
      </rPr>
      <t>מה תעדיף / תבחר: לקבל כך וכך היום או</t>
    </r>
  </si>
  <si>
    <r>
      <rPr>
        <u/>
        <sz val="12"/>
        <color theme="1"/>
        <rFont val="David"/>
        <family val="2"/>
        <charset val="177"/>
      </rPr>
      <t>כך ואחרת בעתיד</t>
    </r>
    <r>
      <rPr>
        <sz val="12"/>
        <color theme="1"/>
        <rFont val="David"/>
        <family val="2"/>
        <charset val="177"/>
      </rPr>
      <t xml:space="preserve">״) - תבוצע על בסיס </t>
    </r>
    <r>
      <rPr>
        <b/>
        <sz val="12"/>
        <color theme="1"/>
        <rFont val="David"/>
        <family val="2"/>
        <charset val="177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</si>
  <si>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</si>
  <si>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</si>
  <si>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</si>
  <si>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</si>
  <si>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  <family val="2"/>
        <charset val="177"/>
      </rPr>
      <t>תחילת</t>
    </r>
    <r>
      <rPr>
        <sz val="12"/>
        <color theme="1"/>
        <rFont val="David"/>
        <family val="2"/>
        <charset val="177"/>
      </rPr>
      <t xml:space="preserve"> שבוע, </t>
    </r>
    <r>
      <rPr>
        <b/>
        <sz val="12"/>
        <color theme="1"/>
        <rFont val="David"/>
        <family val="2"/>
        <charset val="177"/>
      </rPr>
      <t>בנוסף</t>
    </r>
    <r>
      <rPr>
        <sz val="12"/>
        <color theme="1"/>
        <rFont val="David"/>
        <family val="2"/>
        <charset val="177"/>
      </rPr>
      <t xml:space="preserve">, תקבל מוריה מארז גלידה הביתה בסכום של 500 ש״ח, וזאת במשך 12 שבועות. </t>
    </r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</si>
  <si>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</si>
  <si>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</si>
  <si>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</si>
  <si>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</si>
  <si>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</si>
  <si>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</si>
  <si>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</si>
  <si>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</si>
  <si>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</si>
  <si>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</si>
  <si>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</si>
  <si>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</si>
  <si>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</si>
  <si>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</si>
  <si>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</si>
  <si>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  <family val="2"/>
        <charset val="177"/>
      </rPr>
      <t>ריבית אפקטיבית</t>
    </r>
    <r>
      <rPr>
        <sz val="12"/>
        <color theme="1"/>
        <rFont val="David"/>
        <family val="2"/>
        <charset val="177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</si>
  <si>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  <family val="2"/>
        <charset val="177"/>
      </rPr>
      <t>ריבית אפקטיבית זו הריבית האמיתית</t>
    </r>
    <r>
      <rPr>
        <sz val="12"/>
        <color theme="1"/>
        <rFont val="David"/>
        <family val="2"/>
        <charset val="177"/>
      </rPr>
      <t>״.</t>
    </r>
  </si>
  <si>
    <r>
      <t xml:space="preserve">א.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</si>
  <si>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</si>
  <si>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</si>
  <si>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  <family val="2"/>
        <charset val="177"/>
      </rPr>
      <t>הריבית הנקובה</t>
    </r>
    <r>
      <rPr>
        <sz val="12"/>
        <color theme="1"/>
        <rFont val="David"/>
        <family val="2"/>
        <charset val="177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</si>
  <si>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</si>
  <si>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</si>
  <si>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</si>
  <si>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</si>
  <si>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</si>
  <si>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</si>
  <si>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  <family val="2"/>
        <charset val="177"/>
      </rPr>
      <t>בתום התקופה</t>
    </r>
    <r>
      <rPr>
        <sz val="12"/>
        <color theme="1"/>
        <rFont val="David"/>
        <family val="2"/>
        <charset val="177"/>
      </rPr>
      <t xml:space="preserve"> (כאן: 21,600) לבין </t>
    </r>
    <r>
      <rPr>
        <b/>
        <u/>
        <sz val="12"/>
        <color theme="1"/>
        <rFont val="David"/>
        <family val="2"/>
        <charset val="177"/>
      </rPr>
      <t>הערך המוחלט</t>
    </r>
    <r>
      <rPr>
        <sz val="12"/>
        <color theme="1"/>
        <rFont val="David"/>
        <family val="2"/>
        <charset val="177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</si>
  <si>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  <family val="2"/>
        <charset val="177"/>
      </rPr>
      <t>פחות אחת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</si>
  <si>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  <family val="2"/>
        <charset val="177"/>
      </rPr>
      <t>מחושבת כל רבעון</t>
    </r>
    <r>
      <rPr>
        <sz val="12"/>
        <color theme="1"/>
        <rFont val="David"/>
        <family val="2"/>
        <charset val="177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</si>
  <si>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  <family val="2"/>
        <charset val="177"/>
      </rPr>
      <t>הריבית האפקטיבית</t>
    </r>
    <r>
      <rPr>
        <sz val="12"/>
        <rFont val="David"/>
        <family val="2"/>
        <charset val="177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</si>
  <si>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  <family val="2"/>
        <charset val="177"/>
      </rPr>
      <t>הריבית הנתונה נקובה</t>
    </r>
    <r>
      <rPr>
        <sz val="12"/>
        <color theme="1"/>
        <rFont val="David"/>
        <family val="2"/>
        <charset val="177"/>
      </rPr>
      <t xml:space="preserve"> ומחושבת </t>
    </r>
    <r>
      <rPr>
        <b/>
        <sz val="12"/>
        <color theme="1"/>
        <rFont val="David"/>
        <family val="2"/>
        <charset val="177"/>
      </rPr>
      <t>מספר פעמים בתקופה</t>
    </r>
    <r>
      <rPr>
        <sz val="12"/>
        <color theme="1"/>
        <rFont val="David"/>
        <family val="2"/>
        <charset val="177"/>
      </rPr>
      <t>:</t>
    </r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</si>
  <si>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</si>
  <si>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</si>
  <si>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</si>
  <si>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>ב. ריבית רבעונית אפקטיבית בשיעור 3.5%.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</si>
  <si>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</si>
  <si>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</si>
  <si>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</si>
  <si>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</si>
  <si>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</si>
  <si>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</si>
  <si>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</si>
  <si>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</si>
  <si>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</si>
  <si>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</si>
  <si>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</si>
  <si>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</si>
  <si>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</si>
  <si>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</si>
  <si>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</si>
  <si>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</si>
  <si>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</si>
  <si>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</si>
  <si>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</si>
  <si>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</si>
  <si>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</si>
  <si>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</si>
  <si>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</si>
  <si>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</si>
  <si>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</si>
  <si>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</si>
  <si>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</si>
  <si>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</si>
  <si>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</si>
  <si>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</si>
  <si>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</si>
  <si>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</si>
  <si>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</si>
  <si>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</si>
  <si>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</si>
  <si>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</si>
  <si>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</si>
  <si>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</si>
  <si>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</si>
  <si>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</si>
  <si>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</si>
  <si>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</si>
  <si>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</si>
  <si>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</si>
  <si>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</si>
  <si>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</si>
  <si>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</si>
  <si>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</si>
  <si>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</si>
  <si>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  <family val="2"/>
        <charset val="177"/>
      </rPr>
      <t>אפקטיבית</t>
    </r>
    <r>
      <rPr>
        <sz val="12"/>
        <color theme="1"/>
        <rFont val="David"/>
        <family val="2"/>
        <charset val="177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</si>
  <si>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</si>
  <si>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  <family val="2"/>
        <charset val="177"/>
      </rPr>
      <t>נתון שהריבית האפקטיבית</t>
    </r>
    <r>
      <rPr>
        <sz val="12"/>
        <color theme="1"/>
        <rFont val="David"/>
        <family val="2"/>
        <charset val="177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</si>
  <si>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</si>
  <si>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</si>
  <si>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</si>
  <si>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</si>
  <si>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</si>
  <si>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  <family val="2"/>
        <charset val="177"/>
      </rPr>
      <t>ניכוי</t>
    </r>
    <r>
      <rPr>
        <sz val="12"/>
        <color theme="1"/>
        <rFont val="David"/>
        <family val="2"/>
        <charset val="177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</si>
  <si>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</si>
  <si>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</si>
  <si>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</si>
  <si>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</si>
  <si>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</si>
  <si>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</si>
  <si>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</si>
  <si>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  <family val="2"/>
        <charset val="177"/>
      </rPr>
      <t>,</t>
    </r>
    <r>
      <rPr>
        <sz val="12"/>
        <rFont val="David"/>
        <family val="2"/>
        <charset val="177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</si>
  <si>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</si>
  <si>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</si>
  <si>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</si>
  <si>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</si>
  <si>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</si>
  <si>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</si>
  <si>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</si>
  <si>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</si>
  <si>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</si>
  <si>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</si>
  <si>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</si>
  <si>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</si>
  <si>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</si>
  <si>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</si>
  <si>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</si>
  <si>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</si>
  <si>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</si>
  <si>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</si>
  <si>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</si>
  <si>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</si>
  <si>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</si>
  <si>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  <family val="2"/>
        <charset val="177"/>
      </rPr>
      <t>סדרה</t>
    </r>
    <r>
      <rPr>
        <sz val="11"/>
        <color theme="1"/>
        <rFont val="David"/>
        <family val="2"/>
        <charset val="177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</si>
  <si>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</si>
  <si>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</si>
  <si>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</si>
  <si>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</si>
  <si>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</si>
  <si>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</si>
  <si>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</si>
  <si>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</si>
  <si>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</si>
  <si>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</si>
  <si>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</si>
  <si>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  <family val="2"/>
        <charset val="177"/>
      </rPr>
      <t>,</t>
    </r>
    <r>
      <rPr>
        <sz val="11"/>
        <color theme="1"/>
        <rFont val="David"/>
        <family val="2"/>
        <charset val="177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</si>
  <si>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</si>
  <si>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</si>
  <si>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</si>
  <si>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</si>
  <si>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</si>
  <si>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</si>
  <si>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</si>
  <si>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</si>
  <si>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</si>
  <si>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</si>
  <si>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</si>
  <si>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  <family val="2"/>
        <charset val="177"/>
      </rPr>
      <t>האפקטיבית</t>
    </r>
    <r>
      <rPr>
        <sz val="11"/>
        <color theme="1"/>
        <rFont val="David"/>
        <family val="2"/>
        <charset val="177"/>
      </rPr>
      <t xml:space="preserve"> לשנתיים אם </t>
    </r>
    <r>
      <rPr>
        <b/>
        <sz val="11"/>
        <color theme="1"/>
        <rFont val="David"/>
        <family val="2"/>
        <charset val="177"/>
      </rPr>
      <t>הריבית הנקובה</t>
    </r>
    <r>
      <rPr>
        <sz val="11"/>
        <color theme="1"/>
        <rFont val="David"/>
        <family val="2"/>
        <charset val="177"/>
      </rPr>
      <t xml:space="preserve"> לשנה 12% </t>
    </r>
    <r>
      <rPr>
        <b/>
        <sz val="11"/>
        <color theme="1"/>
        <rFont val="David"/>
        <family val="2"/>
        <charset val="177"/>
      </rPr>
      <t>והיא מחושבת כל רבעון</t>
    </r>
    <r>
      <rPr>
        <sz val="11"/>
        <color theme="1"/>
        <rFont val="David"/>
        <family val="2"/>
        <charset val="177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</si>
  <si>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</si>
  <si>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</si>
  <si>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</si>
  <si>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</si>
  <si>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</si>
  <si>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</si>
  <si>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</si>
  <si>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</si>
  <si>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</si>
  <si>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</si>
  <si>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</si>
  <si>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</si>
  <si>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</si>
  <si>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  <family val="2"/>
        <charset val="177"/>
      </rPr>
      <t>תשלומים</t>
    </r>
    <r>
      <rPr>
        <sz val="12"/>
        <color theme="1"/>
        <rFont val="David"/>
        <family val="2"/>
        <charset val="177"/>
      </rPr>
      <t xml:space="preserve"> </t>
    </r>
    <r>
      <rPr>
        <u/>
        <sz val="12"/>
        <color theme="1"/>
        <rFont val="David"/>
        <family val="2"/>
        <charset val="177"/>
      </rPr>
      <t>חודשיים</t>
    </r>
    <r>
      <rPr>
        <sz val="12"/>
        <color theme="1"/>
        <rFont val="David"/>
        <family val="2"/>
        <charset val="177"/>
      </rPr>
      <t xml:space="preserve"> </t>
    </r>
    <r>
      <rPr>
        <b/>
        <sz val="12"/>
        <color theme="1"/>
        <rFont val="David"/>
        <family val="2"/>
        <charset val="177"/>
      </rPr>
      <t>שווים</t>
    </r>
    <r>
      <rPr>
        <sz val="12"/>
        <color theme="1"/>
        <rFont val="David"/>
        <family val="2"/>
        <charset val="177"/>
      </rPr>
      <t xml:space="preserve"> של קרן וריבית (לוח </t>
    </r>
    <r>
      <rPr>
        <b/>
        <u/>
        <sz val="12"/>
        <color theme="1"/>
        <rFont val="David"/>
        <family val="2"/>
        <charset val="177"/>
      </rPr>
      <t>שפיצר</t>
    </r>
    <r>
      <rPr>
        <sz val="12"/>
        <color theme="1"/>
        <rFont val="David"/>
        <family val="2"/>
        <charset val="177"/>
      </rPr>
      <t xml:space="preserve">). הריבית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</si>
  <si>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</si>
  <si>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</si>
  <si>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PPMT</t>
    </r>
  </si>
  <si>
    <r>
      <t xml:space="preserve">הדרכה: פונקציית </t>
    </r>
    <r>
      <rPr>
        <b/>
        <sz val="12"/>
        <color rgb="FFFF0000"/>
        <rFont val="David"/>
        <family val="2"/>
        <charset val="177"/>
      </rPr>
      <t>IPMT</t>
    </r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</si>
  <si>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</si>
  <si>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</si>
  <si>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</si>
  <si>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</si>
  <si>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</si>
  <si>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</si>
  <si>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</si>
  <si>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</si>
  <si>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</si>
  <si>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</si>
  <si>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</si>
  <si>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</si>
  <si>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</si>
  <si>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</si>
  <si>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</si>
  <si>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</si>
  <si>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  <family val="2"/>
        <charset val="177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</si>
  <si>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</si>
  <si>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  <family val="2"/>
        <charset val="177"/>
      </rPr>
      <t>שנה אחת</t>
    </r>
    <r>
      <rPr>
        <sz val="12"/>
        <color theme="1"/>
        <rFont val="David"/>
        <family val="2"/>
        <charset val="177"/>
      </rPr>
      <t xml:space="preserve"> יכלול </t>
    </r>
    <r>
      <rPr>
        <b/>
        <u/>
        <sz val="12"/>
        <color theme="1"/>
        <rFont val="David"/>
        <family val="2"/>
        <charset val="177"/>
      </rPr>
      <t>תשלום חודשי קבוע על חשבון הקרן</t>
    </r>
    <r>
      <rPr>
        <sz val="12"/>
        <color theme="1"/>
        <rFont val="David"/>
        <family val="2"/>
        <charset val="177"/>
      </rPr>
      <t>,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</si>
  <si>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</si>
  <si>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</si>
  <si>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</si>
  <si>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</si>
  <si>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</si>
  <si>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</si>
  <si>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</si>
  <si>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</si>
  <si>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</si>
  <si>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</si>
  <si>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</si>
  <si>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</si>
  <si>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</si>
  <si>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</si>
  <si>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  <family val="2"/>
        <charset val="177"/>
      </rPr>
      <t>הציגו את לוח הסילוקין</t>
    </r>
    <r>
      <rPr>
        <sz val="11"/>
        <color theme="1"/>
        <rFont val="David"/>
        <family val="2"/>
        <charset val="177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</si>
  <si>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  <family val="2"/>
        <charset val="177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</si>
  <si>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</si>
  <si>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 xml:space="preserve"> במשך שנה כאשר הריבית </t>
    </r>
    <r>
      <rPr>
        <u/>
        <sz val="11"/>
        <color theme="1"/>
        <rFont val="David"/>
        <family val="2"/>
        <charset val="177"/>
      </rPr>
      <t>השנתית הנקובה</t>
    </r>
    <r>
      <rPr>
        <sz val="11"/>
        <color theme="1"/>
        <rFont val="David"/>
        <family val="2"/>
        <charset val="177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</si>
  <si>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</si>
  <si>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</si>
  <si>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</si>
  <si>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</si>
  <si>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</si>
  <si>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</si>
  <si>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</si>
  <si>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</si>
  <si>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</si>
  <si>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</si>
  <si>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</si>
  <si>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</si>
  <si>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</si>
  <si>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</si>
  <si>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</si>
  <si>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</si>
  <si>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</si>
  <si>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</si>
  <si>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</si>
  <si>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</si>
  <si>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  <family val="2"/>
        <charset val="177"/>
      </rPr>
      <t>בשונה</t>
    </r>
    <r>
      <rPr>
        <sz val="11"/>
        <color theme="1"/>
        <rFont val="David"/>
        <family val="2"/>
        <charset val="177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</si>
  <si>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  <family val="2"/>
        <charset val="177"/>
      </rPr>
      <t>קרן</t>
    </r>
    <r>
      <rPr>
        <b/>
        <sz val="11"/>
        <color theme="1"/>
        <rFont val="David"/>
        <family val="2"/>
        <charset val="177"/>
      </rPr>
      <t xml:space="preserve"> שווים) - נוסחאות קיצור לפתרון מהיר (המחשנו את א, </t>
    </r>
    <r>
      <rPr>
        <b/>
        <sz val="11"/>
        <color rgb="FFFF0000"/>
        <rFont val="David"/>
        <family val="2"/>
        <charset val="177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</si>
  <si>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</si>
  <si>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</si>
  <si>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</si>
  <si>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</si>
  <si>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</si>
  <si>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</si>
  <si>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</si>
  <si>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</si>
  <si>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</si>
  <si>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</si>
  <si>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</si>
  <si>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</si>
  <si>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</si>
  <si>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</si>
  <si>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</si>
  <si>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</si>
  <si>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  <family val="2"/>
        <charset val="177"/>
      </rPr>
      <t xml:space="preserve">שווים </t>
    </r>
    <r>
      <rPr>
        <sz val="11"/>
        <color theme="1"/>
        <rFont val="David"/>
        <family val="2"/>
        <charset val="177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</si>
  <si>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</si>
  <si>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</si>
  <si>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</si>
  <si>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</si>
  <si>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</si>
  <si>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</si>
  <si>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</si>
  <si>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</si>
  <si>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</si>
  <si>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</si>
  <si>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</si>
  <si>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</si>
  <si>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</si>
  <si>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</si>
  <si>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</si>
  <si>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</si>
  <si>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</si>
  <si>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  <family val="2"/>
        <charset val="177"/>
      </rPr>
      <t>במונה: מדד עדכני</t>
    </r>
    <r>
      <rPr>
        <sz val="11"/>
        <color theme="1"/>
        <rFont val="David"/>
        <family val="2"/>
        <charset val="177"/>
      </rPr>
      <t xml:space="preserve">, </t>
    </r>
    <r>
      <rPr>
        <b/>
        <sz val="11"/>
        <color theme="1"/>
        <rFont val="David"/>
        <family val="2"/>
        <charset val="177"/>
      </rPr>
      <t>במכנה - מדד בסיס</t>
    </r>
    <r>
      <rPr>
        <sz val="11"/>
        <color theme="1"/>
        <rFont val="David"/>
        <family val="2"/>
        <charset val="177"/>
      </rPr>
      <t>.</t>
    </r>
  </si>
  <si>
    <r>
      <t xml:space="preserve">ב. </t>
    </r>
    <r>
      <rPr>
        <u/>
        <sz val="11"/>
        <color theme="1"/>
        <rFont val="David"/>
        <family val="2"/>
        <charset val="177"/>
      </rPr>
      <t>על בסיס היחס בין המדד ההתחלתי למדד הסופי</t>
    </r>
    <r>
      <rPr>
        <sz val="11"/>
        <color theme="1"/>
        <rFont val="David"/>
        <family val="2"/>
        <charset val="177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</si>
  <si>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</si>
  <si>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</si>
  <si>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</si>
  <si>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</si>
  <si>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</si>
  <si>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</si>
  <si>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</si>
  <si>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</si>
  <si>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</si>
  <si>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</si>
  <si>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</si>
  <si>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</si>
  <si>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</si>
  <si>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  <family val="2"/>
        <charset val="177"/>
      </rPr>
      <t>ללא מינוס אחת</t>
    </r>
    <r>
      <rPr>
        <b/>
        <sz val="11"/>
        <rFont val="David"/>
        <family val="2"/>
        <charset val="177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</si>
  <si>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</si>
  <si>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</si>
  <si>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  <family val="2"/>
        <charset val="177"/>
      </rPr>
      <t>ריבית ריאלית</t>
    </r>
    <r>
      <rPr>
        <b/>
        <sz val="11"/>
        <color theme="1"/>
        <rFont val="David"/>
        <family val="2"/>
        <charset val="177"/>
      </rPr>
      <t xml:space="preserve">, </t>
    </r>
    <r>
      <rPr>
        <b/>
        <u/>
        <sz val="11"/>
        <color theme="1"/>
        <rFont val="David"/>
        <family val="2"/>
        <charset val="177"/>
      </rPr>
      <t>ריבית נומינלית</t>
    </r>
    <r>
      <rPr>
        <b/>
        <sz val="11"/>
        <color theme="1"/>
        <rFont val="David"/>
        <family val="2"/>
        <charset val="177"/>
      </rPr>
      <t xml:space="preserve"> ו</t>
    </r>
    <r>
      <rPr>
        <b/>
        <u/>
        <sz val="11"/>
        <color theme="1"/>
        <rFont val="David"/>
        <family val="2"/>
        <charset val="177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</si>
  <si>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</si>
  <si>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</si>
  <si>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  <family val="2"/>
        <charset val="177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</si>
  <si>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</si>
  <si>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</si>
  <si>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</si>
  <si>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</si>
  <si>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</si>
  <si>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  <family val="2"/>
        <charset val="177"/>
      </rPr>
      <t>תשלומים</t>
    </r>
    <r>
      <rPr>
        <sz val="11"/>
        <color theme="1"/>
        <rFont val="David"/>
        <family val="2"/>
        <charset val="177"/>
      </rPr>
      <t xml:space="preserve"> חודשיים </t>
    </r>
    <r>
      <rPr>
        <b/>
        <u/>
        <sz val="11"/>
        <color theme="1"/>
        <rFont val="David"/>
        <family val="2"/>
        <charset val="177"/>
      </rPr>
      <t>שווים</t>
    </r>
    <r>
      <rPr>
        <sz val="11"/>
        <color theme="1"/>
        <rFont val="David"/>
        <family val="2"/>
        <charset val="177"/>
      </rPr>
      <t>. נדרש:</t>
    </r>
  </si>
  <si>
    <r>
      <t xml:space="preserve">פירעון </t>
    </r>
    <r>
      <rPr>
        <b/>
        <u/>
        <sz val="11"/>
        <color theme="1"/>
        <rFont val="David"/>
        <family val="2"/>
        <charset val="177"/>
      </rPr>
      <t>בתשלומים שווים</t>
    </r>
    <r>
      <rPr>
        <sz val="11"/>
        <color theme="1"/>
        <rFont val="David"/>
        <family val="2"/>
        <charset val="177"/>
      </rPr>
      <t xml:space="preserve"> = לוח </t>
    </r>
    <r>
      <rPr>
        <b/>
        <u/>
        <sz val="11"/>
        <color theme="1"/>
        <rFont val="David"/>
        <family val="2"/>
        <charset val="177"/>
      </rPr>
      <t>שפיצר</t>
    </r>
    <r>
      <rPr>
        <sz val="11"/>
        <color theme="1"/>
        <rFont val="David"/>
        <family val="2"/>
        <charset val="177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</si>
  <si>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</si>
  <si>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</si>
  <si>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</si>
  <si>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</si>
  <si>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</si>
  <si>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</si>
  <si>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</si>
  <si>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</si>
  <si>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</si>
  <si>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</si>
  <si>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</si>
  <si>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</si>
  <si>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</si>
  <si>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</si>
  <si>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</si>
  <si>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</si>
  <si>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  <family val="2"/>
        <charset val="177"/>
      </rPr>
      <t>הנקובה השנתית</t>
    </r>
    <r>
      <rPr>
        <b/>
        <sz val="11"/>
        <color theme="1"/>
        <rFont val="David"/>
        <family val="2"/>
        <charset val="177"/>
      </rPr>
      <t xml:space="preserve"> היא </t>
    </r>
    <r>
      <rPr>
        <b/>
        <u/>
        <sz val="11"/>
        <color theme="1"/>
        <rFont val="David"/>
        <family val="2"/>
        <charset val="177"/>
      </rPr>
      <t>4.8%</t>
    </r>
    <r>
      <rPr>
        <b/>
        <sz val="11"/>
        <color theme="1"/>
        <rFont val="David"/>
        <family val="2"/>
        <charset val="177"/>
      </rPr>
      <t>, מחושבת כל חודש,</t>
    </r>
  </si>
  <si>
    <r>
      <rPr>
        <b/>
        <u/>
        <sz val="11"/>
        <color theme="1"/>
        <rFont val="David"/>
        <family val="2"/>
        <charset val="177"/>
      </rPr>
      <t>וצמודה למדד</t>
    </r>
    <r>
      <rPr>
        <b/>
        <sz val="11"/>
        <color theme="1"/>
        <rFont val="David"/>
        <family val="2"/>
        <charset val="177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</si>
  <si>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</si>
  <si>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</si>
  <si>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</si>
  <si>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  <family val="2"/>
        <charset val="177"/>
      </rPr>
      <t>רו״ח</t>
    </r>
    <r>
      <rPr>
        <sz val="11"/>
        <color theme="1"/>
        <rFont val="David"/>
        <family val="2"/>
        <charset val="177"/>
      </rPr>
      <t xml:space="preserve"> </t>
    </r>
    <r>
      <rPr>
        <sz val="16"/>
        <color theme="1"/>
        <rFont val="David"/>
        <family val="2"/>
        <charset val="177"/>
      </rPr>
      <t>ד״ר</t>
    </r>
    <r>
      <rPr>
        <sz val="11"/>
        <color theme="1"/>
        <rFont val="David"/>
        <family val="2"/>
        <charset val="177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</si>
  <si>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</si>
  <si>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</si>
  <si>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</si>
  <si>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</si>
  <si>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</si>
  <si>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</si>
  <si>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</si>
  <si>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</si>
  <si>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</si>
  <si>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</si>
  <si>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</si>
  <si>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</si>
  <si>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</si>
  <si>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</si>
  <si>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</si>
  <si>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</si>
  <si>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</si>
  <si>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</si>
  <si>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</si>
  <si>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</si>
  <si>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</si>
  <si>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</si>
  <si>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</si>
  <si>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</si>
  <si>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</si>
  <si>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</si>
  <si>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</si>
  <si>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</si>
  <si>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</si>
  <si>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</si>
  <si>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</si>
  <si>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</si>
  <si>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</si>
  <si>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</si>
  <si>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</si>
  <si>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</si>
  <si>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</si>
  <si>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</si>
  <si>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</si>
  <si>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</si>
  <si>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</si>
  <si>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</si>
  <si>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</si>
  <si>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</si>
  <si>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  <family val="2"/>
        <charset val="177"/>
      </rPr>
      <t>כריבית פשוטה</t>
    </r>
    <r>
      <rPr>
        <sz val="11"/>
        <color theme="1"/>
        <rFont val="David"/>
        <family val="2"/>
        <charset val="177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</si>
  <si>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</si>
  <si>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</si>
  <si>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</si>
  <si>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</si>
  <si>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</si>
  <si>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</si>
  <si>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</si>
  <si>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</si>
  <si>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</si>
  <si>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</si>
  <si>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</si>
  <si>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</si>
  <si>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</si>
  <si>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</si>
  <si>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</si>
  <si>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</si>
  <si>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</si>
  <si>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</si>
  <si>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</si>
  <si>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</si>
  <si>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</si>
  <si>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</si>
  <si>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</si>
  <si>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</si>
  <si>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</si>
  <si>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</si>
  <si>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</si>
  <si>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</si>
  <si>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</si>
  <si>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</si>
  <si>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</si>
  <si>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</si>
  <si>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</si>
  <si>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</si>
  <si>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</si>
  <si>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</si>
  <si>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</si>
  <si>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</si>
  <si>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</si>
  <si>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</si>
  <si>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</si>
  <si>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</si>
  <si>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</si>
  <si>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</si>
  <si>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</si>
  <si>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</si>
  <si>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</si>
  <si>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</si>
  <si>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</si>
  <si>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</si>
  <si>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</si>
  <si>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</si>
  <si>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</si>
  <si>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</si>
  <si>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</si>
  <si>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</si>
  <si>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</si>
  <si>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</si>
  <si>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</si>
  <si>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</si>
  <si>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</si>
  <si>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</si>
  <si>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</si>
  <si>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</si>
  <si>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</si>
  <si>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</si>
  <si>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</si>
  <si>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  <family val="2"/>
        <charset val="177"/>
      </rPr>
      <t>החודשית</t>
    </r>
    <r>
      <rPr>
        <sz val="11"/>
        <color theme="1"/>
        <rFont val="David"/>
        <family val="2"/>
        <charset val="177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</si>
  <si>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  <family val="2"/>
        <charset val="177"/>
      </rPr>
      <t>השנתית</t>
    </r>
    <r>
      <rPr>
        <sz val="11"/>
        <color theme="1"/>
        <rFont val="David"/>
        <family val="2"/>
        <charset val="177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</si>
  <si>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</si>
  <si>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</si>
  <si>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  <family val="2"/>
        <charset val="177"/>
      </rPr>
      <t>72</t>
    </r>
    <r>
      <rPr>
        <sz val="11"/>
        <color theme="1"/>
        <rFont val="David"/>
        <family val="2"/>
        <charset val="177"/>
      </rPr>
      <t xml:space="preserve"> = 12 * 6</t>
    </r>
  </si>
  <si>
    <t>98,000 * (1 + r)^9 = 150,000</t>
  </si>
  <si>
    <t>זו המשוואה המתקיימת:</t>
  </si>
  <si>
    <t>אבל אנו נפתור ב-Excel:</t>
  </si>
  <si>
    <t xml:space="preserve">סהר אביטל תתייבש רווקה 28 שנים עד אשר תגיע לסכום הנדרש. </t>
  </si>
  <si>
    <t>הפרופיל
של המרצה
בטינדר</t>
  </si>
  <si>
    <t>3..5</t>
  </si>
  <si>
    <r>
      <t xml:space="preserve">שאלה 6 - סטודנטיות וסטודנטים, </t>
    </r>
    <r>
      <rPr>
        <b/>
        <sz val="11"/>
        <color rgb="FFFF0000"/>
        <rFont val="David"/>
        <family val="2"/>
        <charset val="177"/>
      </rPr>
      <t>לבית</t>
    </r>
  </si>
  <si>
    <t>שיעור 3 - ערך נוכחי - 9.4.2025</t>
  </si>
  <si>
    <t>ערך נוכחי של סכום יחיד (תקבול בודד</t>
  </si>
  <si>
    <t>בעתיד) מתקבל על ידי חלוקתו ב-1 ועוד</t>
  </si>
  <si>
    <t>הריבית בחזקת מספר התקופות</t>
  </si>
  <si>
    <t>ריבית שנתית נתונה</t>
  </si>
  <si>
    <t>מספר השנים כמס׳ תקו׳ ריבית</t>
  </si>
  <si>
    <t>הסכום החד פעמי הבודד בסוף</t>
  </si>
  <si>
    <t>אין סדרת תזרימים</t>
  </si>
  <si>
    <t>הסכום היום</t>
  </si>
  <si>
    <t>מסקנה: יש להפקיד היום 907.03 ש״ח!</t>
  </si>
  <si>
    <t>ד״ר צבאן מפעיל עסק למכירת מחשבי Macbook Air M1 באור יהודה. לאחרונה, פנה אליו סטודנט חביב (ליאור) בקורס ״יסודות</t>
  </si>
  <si>
    <t>אדישות מצד הרוכש בין תשלום נדחה באשראי לתשלום מיידי במזומן תתקיים כאשר:</t>
  </si>
  <si>
    <t>PV(Mezuman) = PV(Credit)</t>
  </si>
  <si>
    <t xml:space="preserve">בעברית: כאשר הערך הנוכחי של התשלום במזומן זהה לערך הנוכחי של התשלום הנדחה / באשראי. </t>
  </si>
  <si>
    <r>
      <rPr>
        <b/>
        <sz val="11"/>
        <color theme="1"/>
        <rFont val="David"/>
        <family val="2"/>
        <charset val="177"/>
      </rPr>
      <t>הערך הנוכחי של התשלום במזומן</t>
    </r>
    <r>
      <rPr>
        <sz val="11"/>
        <color theme="1"/>
        <rFont val="David"/>
        <family val="2"/>
        <charset val="177"/>
      </rPr>
      <t xml:space="preserve">: גובהו של התשלום במזומן - נטו, לאחר הנחה. </t>
    </r>
    <r>
      <rPr>
        <b/>
        <sz val="11"/>
        <color theme="1"/>
        <rFont val="David"/>
        <family val="2"/>
        <charset val="177"/>
      </rPr>
      <t>סכום זה לא ידוע. PV = x.</t>
    </r>
    <r>
      <rPr>
        <sz val="11"/>
        <color theme="1"/>
        <rFont val="David"/>
        <family val="2"/>
        <charset val="177"/>
      </rPr>
      <t xml:space="preserve"> </t>
    </r>
  </si>
  <si>
    <t>הערך הנוכחי של התשלום הנדחה / באשראי: מדובר ב-4,000 ש״ח שישולמו כסכום בודד בעוד 4 חודשים והריבית החודשית 2%.</t>
  </si>
  <si>
    <t>הסכום שמשולם בעתיד על ידי הצרכן</t>
  </si>
  <si>
    <t>מספר תקופות הריבית, כאן - כמספר החודשים</t>
  </si>
  <si>
    <t>אין סדרה, סכום יחיד</t>
  </si>
  <si>
    <t>פרופיל הטינדר של המרצה</t>
  </si>
  <si>
    <t>כי אין סדרה</t>
  </si>
  <si>
    <t xml:space="preserve">כלכלית: לשלם 4,000 ש״ח בעוד 4 חודשים שקול כלכלית לתשלום 3,695 ש״ח במזומן מיידי. </t>
  </si>
  <si>
    <t xml:space="preserve">התשלום במזומן שיוביל לאדישות להסדר באשראי הוא 3,695. </t>
  </si>
  <si>
    <t>פתרון סעיף ב</t>
  </si>
  <si>
    <t>הסעיף ציין שאם משלמים במזומן מקבלים הנחה של 5% ביחס ל-4,000 השקלים.</t>
  </si>
  <si>
    <t>האם עדיף מזומן או אשראי?</t>
  </si>
  <si>
    <t>בנתונים הקיימים, הסכום במזומן, אחרי הנחה, יהיה:</t>
  </si>
  <si>
    <t>אם אני משלם בתשלומים, הערך הנוכחי (השווי) PV של זה:</t>
  </si>
  <si>
    <t>ראו סעיף קודם</t>
  </si>
  <si>
    <t>עדיף לשלם בתשלום נדחה ==== זה זול יותר! 3,695 &lt; 3,800</t>
  </si>
  <si>
    <t>תמצית:</t>
  </si>
  <si>
    <t>אם הסיטואציה היא:</t>
  </si>
  <si>
    <t>ניתן לשלם בעתיד</t>
  </si>
  <si>
    <t>או</t>
  </si>
  <si>
    <t>ניתן לשלם היום בניכוי הנחה</t>
  </si>
  <si>
    <t>אדישות תתקיים כאשר PV תשלום עתידי (מחושב) = תשלום במזומן נטו, אחרי הנחה</t>
  </si>
  <si>
    <t>***</t>
  </si>
  <si>
    <t>אם שיעור (אחוז) ההנחה נתון ====&gt; ניתן לחשב את הסכום במזומן, נטו</t>
  </si>
  <si>
    <t>ונחליט האם הוא משתלם או לא על ידי השוואותו ל- PV של התשלום העתידי</t>
  </si>
  <si>
    <t>B119</t>
  </si>
  <si>
    <t>C119</t>
  </si>
  <si>
    <t>C118</t>
  </si>
  <si>
    <r>
      <t xml:space="preserve">הואיל וישנם </t>
    </r>
    <r>
      <rPr>
        <b/>
        <sz val="11"/>
        <color theme="1"/>
        <rFont val="David"/>
        <family val="2"/>
        <charset val="177"/>
      </rPr>
      <t>שינויי ריבית מרובים</t>
    </r>
    <r>
      <rPr>
        <sz val="11"/>
        <color theme="1"/>
        <rFont val="David"/>
        <family val="2"/>
        <charset val="177"/>
      </rPr>
      <t>, אין שום אפשרות ליישם PV בחישוב אחד ויחיד שיוביל לתוצאה הנדרשת.</t>
    </r>
  </si>
  <si>
    <r>
      <t>מה שכן אפשר... זה להיות יצירתי: לעבוד ״</t>
    </r>
    <r>
      <rPr>
        <b/>
        <sz val="11"/>
        <color theme="1"/>
        <rFont val="David"/>
        <family val="2"/>
        <charset val="177"/>
      </rPr>
      <t>מהסוף להתחלה</t>
    </r>
    <r>
      <rPr>
        <sz val="11"/>
        <color theme="1"/>
        <rFont val="David"/>
        <family val="2"/>
        <charset val="177"/>
      </rPr>
      <t>״.</t>
    </r>
  </si>
  <si>
    <t>תמיד כששואלים ״מה השווי היום״ או ״כמה הפקדת היום״ או ״מה המחיר המירבי שאתה מוכן לשלם היום״ = עוסקים ב- PV.</t>
  </si>
  <si>
    <t xml:space="preserve">הואיל והסכום גדל מ-36,000 ל-40,068 ללא הפקדות נוספות - </t>
  </si>
  <si>
    <t>המשמעות היא שבתכנית הזו יש ריבית. הריבית קבועה אלא אם נאמר אחרת.</t>
  </si>
  <si>
    <t xml:space="preserve">נחלץ את הריבית השנתית בתקופה הזו - ונעבוד איתה לחשב את ה-PV לזמן 0. </t>
  </si>
  <si>
    <t>אין סדרה קבועה</t>
  </si>
  <si>
    <t>הסכום הכולל שנצבר בתום שנה 4</t>
  </si>
  <si>
    <t>למעשה ״מתייחסים לזה כאילו הפקידו בזמן 2 סכום של 36,000״</t>
  </si>
  <si>
    <t xml:space="preserve">התשובה הסופית - הסכום אותו הפקידה ד״ר גליונה הוא 32,345 ש״ח. </t>
  </si>
  <si>
    <t>שאלה 4.1</t>
  </si>
  <si>
    <t xml:space="preserve">נועה חוסכת למכונת חימום נקניק. </t>
  </si>
  <si>
    <t>בחלוף 4 שנים נצברו לרשותה 250,000 ש״ח ובחלוף 7 שנים נוספות (בתום השנה ה-11) נצברו לרשותה 440,000 ש״ח.</t>
  </si>
  <si>
    <t>בהנחה שנועה הפקידה סכום יחיד במועד פתיחת החסכון, מהו הסכום שהופקד?</t>
  </si>
  <si>
    <t>חילוץ ריבית</t>
  </si>
  <si>
    <t>בהתאם לצבירה</t>
  </si>
  <si>
    <t>מזמן 4</t>
  </si>
  <si>
    <t>לזמן 11</t>
  </si>
  <si>
    <t>שימוש בריבית</t>
  </si>
  <si>
    <t xml:space="preserve">שחילצנו </t>
  </si>
  <si>
    <t>כדי לתרגם</t>
  </si>
  <si>
    <t>ל- PV זמן 0</t>
  </si>
  <si>
    <t>מסקנה: נועה הפקידה במועד פתיחת</t>
  </si>
  <si>
    <t>החסכון סכום של 180,987</t>
  </si>
  <si>
    <t>שיעור 4 - ערך נוכחי של סדרות - 23/4/2025</t>
  </si>
  <si>
    <t>רמה: גבוהה (מתקרב למבחן)</t>
  </si>
  <si>
    <t>הסכום המינימלי שנדרוש</t>
  </si>
  <si>
    <t>חלף סדרת התשלומים</t>
  </si>
  <si>
    <t xml:space="preserve">הוא 285.94. </t>
  </si>
  <si>
    <t>הלווה משלם 3,500 כל חודש</t>
  </si>
  <si>
    <t>אין תשלום / תקבול חד פעמי בסוף</t>
  </si>
  <si>
    <t>תשלומים בסוף כל חודש וזו גם ברירת מחדל</t>
  </si>
  <si>
    <t>שבועות</t>
  </si>
  <si>
    <t>pmt = ?</t>
  </si>
  <si>
    <t>nper = 50</t>
  </si>
  <si>
    <t>rate = 0.1%</t>
  </si>
  <si>
    <t>מושך: 5,000</t>
  </si>
  <si>
    <t>יום הולדת</t>
  </si>
  <si>
    <t>משיכות:</t>
  </si>
  <si>
    <t>pmt = 500</t>
  </si>
  <si>
    <t>nper =12</t>
  </si>
  <si>
    <t>תהליך העבודה העקרוני הוא:</t>
  </si>
  <si>
    <t>נבדוק כמה כסף צריך להצטבר לתום השבוע ה-50 כדי לאפשר את חגיגות יום ההולדת.</t>
  </si>
  <si>
    <t xml:space="preserve">סכום זה הוא למעשה הערך הנוכחי PV של המתנות, לזמן 50. </t>
  </si>
  <si>
    <t>בסיום סדרת המשיכות אין יתרה או סכום נוסף</t>
  </si>
  <si>
    <t>המשיכות הן בתחילת כל תקופה (לראשונה בתחילת 51 = זמן 50)</t>
  </si>
  <si>
    <t>ערך נוכחי של סדרה ב-type=1 מוביל בדיוק לעיתוי איברה הראשון</t>
  </si>
  <si>
    <t>מסקנה: אם כל מה שהייתי צריך לעשות זה לממן את 12 התשלומים בסך 500 כל אחד, הייתי צריך לצבור בחסכון לזמן 50:</t>
  </si>
  <si>
    <t>לזה נוסיף את המתנה החד פעמית בזמן 50:</t>
  </si>
  <si>
    <t>סך צבירה נדרשת לתום 50 כדי להגשים לה:</t>
  </si>
  <si>
    <t>ועכשיו נוכל לומר: ״מהו סכום ההפקדה הסוף - שבועי במשך 50 שבועות, אשר יוביל לכך שבתום השבוע ה-50 יעמוד לרשותכם 10,967.14 ש״ח,</t>
  </si>
  <si>
    <t>בהנחה שהריבית השבועית 0.1%״?</t>
  </si>
  <si>
    <t>ריבית שבועית נתונה</t>
  </si>
  <si>
    <t>מספר הפקדות שבועיות</t>
  </si>
  <si>
    <t>אין כאן הפקדה ראשונית חד פעמית / סכום התחלתי בזמן 0</t>
  </si>
  <si>
    <t>סך הצבירה הנדרשת</t>
  </si>
  <si>
    <t>ההפקדות שלי הן בתום כל חודש</t>
  </si>
  <si>
    <t>חילוץ התשלום התקופתי הקבוע</t>
  </si>
  <si>
    <t>מסקנה: אם אפקיד בסוף כל שבוע 214 ש״ח במשך 50 שבועות, אוכל לממן סדרת משיכות של 500 כל אחת וגם מענק חד פעמי של 5,000 בזמן 50.</t>
  </si>
  <si>
    <t>שאלה נוספת</t>
  </si>
  <si>
    <t xml:space="preserve">ד״ר צבאן מעונין להפקיד בתום כל חודש במשך 4 שנים סכום קבוע כדי להגשים חלום: מכונת חימום נקניק בבית החדש. </t>
  </si>
  <si>
    <t>מכונת הנקניק תעלה 50,000 ש״ח, ובנוסף יש לשלם עלויות תחזוקה שלה בתחילת כל חודש (החל מתחילת שנה 5)</t>
  </si>
  <si>
    <t xml:space="preserve">סכום קבוע של 2,000 ש״ח במשך 6 שנים. </t>
  </si>
  <si>
    <t>בהנחה שהריבית החודשית 0.5%, כמה צריך ד״ר צבאן להפקיד כל חודש, כדי להגשים את החלום?</t>
  </si>
  <si>
    <t>סדרת משיכות</t>
  </si>
  <si>
    <t>תחילת תקופה</t>
  </si>
  <si>
    <t>מס׳ משיכות</t>
  </si>
  <si>
    <t>סכום תשלום</t>
  </si>
  <si>
    <t>לחישוב</t>
  </si>
  <si>
    <t>אין</t>
  </si>
  <si>
    <t>קחו את ה-PV שיצא, הוסיפו לו את עלות</t>
  </si>
  <si>
    <t xml:space="preserve">המכונה. </t>
  </si>
  <si>
    <t xml:space="preserve">שלב 1: עלויות התחזוקה בלבד. </t>
  </si>
  <si>
    <t>שלב 2: הוסף את עלות המכונה</t>
  </si>
  <si>
    <t>שלב 3: התייחסו לסיכום בשלב 2 אליו</t>
  </si>
  <si>
    <t>כאל FV וחלצו את הPMT של החסכון החודשי</t>
  </si>
  <si>
    <t>pv משיכות</t>
  </si>
  <si>
    <t>pmt הפקדות</t>
  </si>
  <si>
    <t>נייר עבודה מינימליסטי מהיר לכל השלבים:</t>
  </si>
  <si>
    <t xml:space="preserve">מסקנה: עליי להפקיד בתום כל חודש </t>
  </si>
  <si>
    <t xml:space="preserve">במשך 4 שנים סכום של 3,166.16, </t>
  </si>
  <si>
    <t>אם אעשה זאת אצבור מספיק</t>
  </si>
  <si>
    <t>כדי לקנות מכונת נקניק ולתחזק אותה</t>
  </si>
  <si>
    <t>במשך 5 שנים</t>
  </si>
  <si>
    <t xml:space="preserve">הרצאה 5 - 7.5.2025 - חישובי ריבית אפקטיבית </t>
  </si>
  <si>
    <t>שאלה 0 - חישוב ריבית אפקטיבית על בסיס ריבית נקובה, המקרה של ריבית דריבית</t>
  </si>
  <si>
    <t>חשבו את הריבית האפקטיבית השנתית בכל אחד מהמקרים הבאים:</t>
  </si>
  <si>
    <t xml:space="preserve">א. ריבית נקובה חצי שנתית בשיעור 12% המחושבת כל חודש. </t>
  </si>
  <si>
    <t>ב. ריבית נקובה חצי שנתית בשיעור 12% המחושבת כל חודשיים.</t>
  </si>
  <si>
    <t xml:space="preserve">ג. ריבית נקובה שנתית בשיעור 8% המחושבת כל שנה. </t>
  </si>
  <si>
    <t xml:space="preserve">ד. ריבית נקובה שנתית בשיעור 6% המחושבת כל חצי שנה. </t>
  </si>
  <si>
    <t>מה זה אומר ״ריבית המחושבת כל חודש״? זה אומר שכל חודש הבנק הנבלה עוצר ומוסיף את הריבית היחסית לקרן.</t>
  </si>
  <si>
    <t>נניח שהסכום הוא 1 ש״ח. אחרי חודש אחד הבנק אומר:</t>
  </si>
  <si>
    <t>1 + 12%/6 = 1 + 2% = 1.02</t>
  </si>
  <si>
    <t>חולף עוד חודש. הבנק אומר - אני מחשב לך שוב ריבית הפעם על 1.02:</t>
  </si>
  <si>
    <t xml:space="preserve">1.02 + 2% * 1.02 = 1.02 * 1.02 </t>
  </si>
  <si>
    <t>חולף עוד חודש. הגענו לסוף חודש 3. הבנק שוב מחייב בריבית:</t>
  </si>
  <si>
    <t>1.02 * 1.02 * 1.02 ....</t>
  </si>
  <si>
    <t>לאחר שנה שלמה:</t>
  </si>
  <si>
    <t>1.02^12</t>
  </si>
  <si>
    <t>הריבית האפקטיבית השנתית באחוזים היא היחס בין סך התשלום אחרי שנה לבין הקרן הראשונית:</t>
  </si>
  <si>
    <t>הנוסחה שאיתה נעבוד כדי לקצר את התהליך תהיה:</t>
  </si>
  <si>
    <t>הריבית האפקטיבית שאליה רוצים להגיע. כאן: ריבית אפקטיבית לשנה</t>
  </si>
  <si>
    <t>הריבית הנקובה הנתונה. כאן: ריבית נקובה לחצי שנה</t>
  </si>
  <si>
    <t>כמה תקופות חישוב ריבית ״נכנסות״ בתקופה הנקובה הנתונה</t>
  </si>
  <si>
    <t>כמה תקופות חישוב ריבית ״נכנסות״ בתקופה הנדרשת</t>
  </si>
  <si>
    <t>הסיבה המתמטית ל 1 ומינוס אחת בנוסחה היא שרוצים לחשב את הריבית על הקרן (1)</t>
  </si>
  <si>
    <t xml:space="preserve">ולאחר סיום החישוב מנכים את הקרן כדי להשאר עם הריבית בלבד. </t>
  </si>
  <si>
    <t>הרחבה</t>
  </si>
  <si>
    <t>חזרה על א בנוסחה המקוצרת:</t>
  </si>
  <si>
    <t>מהי הריבית האפקטיבית השנתית אם הנקובה החצי שנתית 12%</t>
  </si>
  <si>
    <t>והיא מחושבת כל חודש?</t>
  </si>
  <si>
    <t>ה-n הוא התשובה לשאלה: כמה תקופות חישוב ריבית (חודשיים)</t>
  </si>
  <si>
    <t xml:space="preserve">נכנסות בתקופה הנקובה (חצי שנה) - התשובה: 3. </t>
  </si>
  <si>
    <t>ה-m הוא התשובה לשאלה: כמה תקופות חישוב ריבית (חודשיים)</t>
  </si>
  <si>
    <t xml:space="preserve">נכנסות בתקופה הנדרשת (כאן - רצו ריבית אפקטיבית לשנה). התשובה: 6. </t>
  </si>
  <si>
    <t>שאלה 0.1</t>
  </si>
  <si>
    <t xml:space="preserve">מהו הערך הנוכחי של סדרת תשלומים חודשיים בסך 1,000 ש״ח במשך שנה (בסוף כל חודש) אם הריבית הנקובה </t>
  </si>
  <si>
    <t xml:space="preserve">החצי שנתית היא 3%, מחושבת כל חודש. </t>
  </si>
  <si>
    <t>כאשר אני נתקל בחישוב ערך נוכחי או עתידי של סדרה, אני חייב את הריבית לתקופת תשלום בסדרה.</t>
  </si>
  <si>
    <t>במלים אחרות, גם אם הסדרה היא לשנה, או שנתיים, או עשרים שנה - אם התשלומים הם כל חודש, אני חייב</t>
  </si>
  <si>
    <t xml:space="preserve">להתייחס ל-rate בתור ריבית אפקטיבית לחודש. </t>
  </si>
  <si>
    <t>שימו לב: תהליך העבודה כאן חייב להיות הדרגתי כדי לא להתבלבל:</t>
  </si>
  <si>
    <t xml:space="preserve">שלב 1 - זהה את תקופת הריבית שאתה רוצה. בשאלה הקודמת אמרו שצריך ריבית לשנה, זה היה קל. </t>
  </si>
  <si>
    <t xml:space="preserve">כאן, לא אמרו איזו ריבית צריך. אני צריך להסיק בעצמי שהואיל ומדובר בסדרה שכוללת תשלומים </t>
  </si>
  <si>
    <t xml:space="preserve">חודשיים, הריבית הנדרשת היא לחודש אחד בלבד. </t>
  </si>
  <si>
    <t>שלב 2 - לטובת קביעת ה-m (מעריך החזקה) חשוב להבין שתקופת הריבית הנדרשת היא זו שזיהית</t>
  </si>
  <si>
    <t xml:space="preserve">בשלב 1. </t>
  </si>
  <si>
    <t>שאלה 0.2</t>
  </si>
  <si>
    <t xml:space="preserve">נועה צפויה לקבל 2,000 ש״ח בתום כל חודשיים במשך שנתיים. </t>
  </si>
  <si>
    <t xml:space="preserve">הריבית השנתית הנקובה 12%, מחושבת כל חצי שנה. </t>
  </si>
  <si>
    <t>מהו הסכום המירבי שתסכים נועה לשלם היום בעד ההסדר?</t>
  </si>
  <si>
    <t xml:space="preserve">כל עבודה עם סדרה מחייבת לדעת מהי הריבית האפקטיבית לפרק הזמן בין תשלומים. </t>
  </si>
  <si>
    <t>כאן, התשלומים הם כל חודשיים - אני חייב את הריבית האפקטיבית לחודשיים!</t>
  </si>
  <si>
    <t>מדוע חלקי 2?</t>
  </si>
  <si>
    <t>המכנה הוא התשובה לשאלה: כמה תקופות חישוב (כאן: חצי שנה)</t>
  </si>
  <si>
    <t xml:space="preserve">נכנסות בתקופה הנקובה (כאן: שנה). </t>
  </si>
  <si>
    <t xml:space="preserve">לכן: 2. </t>
  </si>
  <si>
    <t>מדוע במעריך 2/6?</t>
  </si>
  <si>
    <t xml:space="preserve">נכנסות בתקופה הנדרשת (חודשיים). </t>
  </si>
  <si>
    <t>המעריך הוא התשובה לשאלה: כמה תקופות חישוב (חצי שנה) - 6 חודשים</t>
  </si>
  <si>
    <t>התשובה 2/6 - ולמי שמתקשה: או: ״היחס בין הרצוי למצוי״</t>
  </si>
  <si>
    <t>התקופה הנדרשת</t>
  </si>
  <si>
    <t>כאן - חודשיים</t>
  </si>
  <si>
    <t>תקופת החישוב שבסוגריים</t>
  </si>
  <si>
    <t>שהיא חצי שנה</t>
  </si>
  <si>
    <t>עד כאן הגענו בפועל בהרצאה 5, להלן מספר תרגילים לתרגול עצמי עם פתרון מלא</t>
  </si>
  <si>
    <t>שאלה 1 - חישוב ריבית אפקטיבית</t>
  </si>
  <si>
    <t>שאלה 2 - חישוב ריבית אפקטיבית בהתחשב בריבית דריבית</t>
  </si>
  <si>
    <t>שאלה 3 - נתונה ריבית נקובה, ריבית דריבית, חישוב ריבית אפקטיבית לתקופה שונה משנה</t>
  </si>
  <si>
    <t xml:space="preserve">הרצאה 6 - 14.5.2024 - חישובי ריבית אפקטיבית </t>
  </si>
  <si>
    <t>מחלק ב-12 (n):</t>
  </si>
  <si>
    <t>התשובה לשאלה</t>
  </si>
  <si>
    <t>כמה תקופות חישוב (חודש)</t>
  </si>
  <si>
    <t>נכנסות בתקופה הנקובה  (שנה)</t>
  </si>
  <si>
    <t>מעלה בחזקת 12 (m)</t>
  </si>
  <si>
    <t>כמה תקופות חישוב</t>
  </si>
  <si>
    <t>נכנסות בתקופה האפקטיבית (שנה)</t>
  </si>
  <si>
    <t>מה שקיבלתי: ריבית נקובה שנתית</t>
  </si>
  <si>
    <r>
      <rPr>
        <b/>
        <sz val="12"/>
        <rFont val="David"/>
        <family val="2"/>
        <charset val="177"/>
      </rPr>
      <t>19.5618%</t>
    </r>
    <r>
      <rPr>
        <sz val="12"/>
        <rFont val="David"/>
        <family val="2"/>
        <charset val="177"/>
      </rPr>
      <t xml:space="preserve"> = (1 + x/12)^12 - 1</t>
    </r>
  </si>
  <si>
    <t>כאשר הריבית הנתונה נקובה המחושבת כל ---- כדי להמיר לאפקטיבית צריך גם חלוקה, גם חזקה, גם n גם m... מעצבן קצת.</t>
  </si>
  <si>
    <t>כאשר הריבית הנתונה אפקטיבית --- ורק רוצים אפקטיבית לתקופה אחרת ---- צריך רק חזקה. וזהו. וזה המקרה פה.</t>
  </si>
  <si>
    <t>ה-re היא הריבית האפקטיבית לתקופה הנדרשת</t>
  </si>
  <si>
    <t>ה-r זו הריבית האפקטיבית הנתונה</t>
  </si>
  <si>
    <t>ה-m ״מה היחס בין התקופה הנדרשת לתקופה הנתונה״</t>
  </si>
  <si>
    <r>
      <t xml:space="preserve">א. ריבית </t>
    </r>
    <r>
      <rPr>
        <u/>
        <sz val="12"/>
        <color theme="1"/>
        <rFont val="David"/>
        <family val="2"/>
        <charset val="177"/>
      </rPr>
      <t>שנתית נקובה</t>
    </r>
    <r>
      <rPr>
        <sz val="12"/>
        <color theme="1"/>
        <rFont val="David"/>
        <family val="2"/>
        <charset val="177"/>
      </rPr>
      <t xml:space="preserve"> בשיעור 6% המחושבת כל </t>
    </r>
    <r>
      <rPr>
        <b/>
        <u/>
        <sz val="12"/>
        <color theme="1"/>
        <rFont val="David"/>
        <family val="2"/>
        <charset val="177"/>
      </rPr>
      <t>חודש</t>
    </r>
    <r>
      <rPr>
        <sz val="12"/>
        <color theme="1"/>
        <rFont val="David"/>
        <family val="2"/>
        <charset val="177"/>
      </rPr>
      <t xml:space="preserve">. </t>
    </r>
  </si>
  <si>
    <r>
      <t xml:space="preserve">נדרש: חשבו ריבית </t>
    </r>
    <r>
      <rPr>
        <b/>
        <sz val="12"/>
        <color theme="1"/>
        <rFont val="David"/>
        <family val="2"/>
        <charset val="177"/>
      </rPr>
      <t>אפקטיבית חצי שנתית</t>
    </r>
    <r>
      <rPr>
        <sz val="12"/>
        <color theme="1"/>
        <rFont val="David"/>
        <family val="2"/>
        <charset val="177"/>
      </rPr>
      <t xml:space="preserve"> בכל חלופה. באיזו תכנית יבחר אלירן?</t>
    </r>
  </si>
  <si>
    <t>בתום התקופה מחזירים את הקרן המקורית (בהתעלם מעמלת עריכת מסמכים) כפול אחת ועוד הריבית בחזקה המתאימה.</t>
  </si>
  <si>
    <t xml:space="preserve">הואיל והריבית השנתית היא נקובה 9% המחושבת כל רבעון, נצטרך לחלק אותה ב-4, ואז בחזקה 4 (כדי לתרגם לשנה). </t>
  </si>
  <si>
    <t xml:space="preserve">Pt = </t>
  </si>
  <si>
    <t>תזרים בזמן 0 נטו</t>
  </si>
  <si>
    <t>תזרים בסוף נטו</t>
  </si>
  <si>
    <t>שאלה נוספת - שילוב של עמלות וריבית דריבית כדי להגיע לריבית אפקטיבית</t>
  </si>
  <si>
    <t xml:space="preserve">נועה שוקלת לרכוש מבנה שישרת את הנהלת החברה לשם חימום נקניק לכל העובדים. </t>
  </si>
  <si>
    <t xml:space="preserve">סכום ההלוואה 700,000 ש״ח. תקופתה - שנה וחצי. </t>
  </si>
  <si>
    <t>במועד העמדת ההלוואה נדרש לשלם:</t>
  </si>
  <si>
    <t>א. עמלת עריכת מסמכים בסך 4,000 ש״ח</t>
  </si>
  <si>
    <t xml:space="preserve">ההלוואה נושאת ריבית שנתית נקובה בשיעור 12% המחושבת כל חודשיים. </t>
  </si>
  <si>
    <t xml:space="preserve">במועד פירעון ההלוואה, נדרש להוסיף לסכום לסילוק עמלת סיום הלוואה בסך 8,000 ש״ח. </t>
  </si>
  <si>
    <t>נדרש: (1) מהי הריבית האפקטיבית לכל תקופת העסקה. (2) מהי הריבית האפקטיבית השנתית.</t>
  </si>
  <si>
    <t>ב. עמלת הבנק החזיר (Pig, Oink Oink) בשיעור 3% מהקרן המוגדרת</t>
  </si>
  <si>
    <t>שנים</t>
  </si>
  <si>
    <t>קרן הלוואה בהסכם</t>
  </si>
  <si>
    <t>ניכוי עמלת עריכת מסמכים</t>
  </si>
  <si>
    <t>עמלה נוספת 3% מהקרן בהסכם</t>
  </si>
  <si>
    <t>תזרים נטו בזמן 0 - P0</t>
  </si>
  <si>
    <t>עמלת סילוק</t>
  </si>
  <si>
    <t xml:space="preserve">פרעון קרן וריבית </t>
  </si>
  <si>
    <t>תזרים נטו בסיום ההסכם - Pt</t>
  </si>
  <si>
    <t>(1) מהי הריבית האפקטיבית לכל תקופת העסקה (לשנה וחצי):</t>
  </si>
  <si>
    <t>(2) בהמשך לנדרש 1 - מהי הריבית האפקטיבית לשנה אחת:</t>
  </si>
  <si>
    <t>הריבית האפקטיבית לשנה וחצי כבר ידועה לי (נדרש 1) --- המרה של ריבית אפקטיבית מתקופה אחת לאחרת (כאן: משנה וחצי לשנה)</t>
  </si>
  <si>
    <t xml:space="preserve">מבוצעת באמצעות מעריך חזקה מתאים בלבד, ללא כפל, ללא חילוק. </t>
  </si>
  <si>
    <t>ה-m הוא התשובה לשאלה:</t>
  </si>
  <si>
    <t>מה היחס בין התקופה הנדרשת</t>
  </si>
  <si>
    <t xml:space="preserve">לבין התקופה שיש לי </t>
  </si>
  <si>
    <t>בנק המועלים מציע ללקוחותיו שני מסלולי פקדונות לשנתיים:</t>
  </si>
  <si>
    <t>א. הפקד 100,000 היום, קבל מיד תיק ג׳אנספורט ומארז 12 קראנץ׳ קורנפלקס (שווי המתנות במזומן 4,000 ש״ח)</t>
  </si>
  <si>
    <t>בסיום השנתיים תקבל את הקרן בתוספת ריבית נקובה שנתית בשיעור 6% המחושבת כל חצי שנה וכן חתימה מקורית</t>
  </si>
  <si>
    <t>של נועה ששוויה במזומן 15,000 ש״ח.</t>
  </si>
  <si>
    <t xml:space="preserve">ב. הפקד 100,000 היום, ובסיום השנתיים תקבל את הקרן בתוספת ריבית נקובה שנתית בשיעור 8% המחושבת </t>
  </si>
  <si>
    <t xml:space="preserve">אחת לשנה. </t>
  </si>
  <si>
    <t xml:space="preserve">נדרש: מהי הריבית האפקטיבית לשנתיים ולשנה בכל מסלול? בהתאם איזה מסלול יועדף. </t>
  </si>
  <si>
    <t>מסלול א:</t>
  </si>
  <si>
    <t>מסלול ב - חישוב רגיל של המרת נקובה שנתית המחושבת מספר פעמים לאפקטיבית לשנתיים:</t>
  </si>
  <si>
    <t>כאשר אני מפקיד 100,000 - זה בסימן שלילי</t>
  </si>
  <si>
    <t>אבל אם מיד במועד ההפקדה אני מקבל זיכוי</t>
  </si>
  <si>
    <t>או מתנה, או ערך חיובי - אוסיף אותו לערך</t>
  </si>
  <si>
    <t>שלילי זה כך שסכום הנטו יקטן</t>
  </si>
  <si>
    <t>במקרה שלנו: הפקדה 100,000-</t>
  </si>
  <si>
    <t>תקבול בגין מתנה 4,000 +</t>
  </si>
  <si>
    <t>סך תזרים נטו בזמן 0: 96,000-</t>
  </si>
  <si>
    <t>על פי הנתון: הבנק ישלם את הקרן בהסכם (100,000)</t>
  </si>
  <si>
    <t>יחד עם הריבית: נקובה שנתית 6%, מחושבת כל חצי שנה</t>
  </si>
  <si>
    <t xml:space="preserve">100,000 * (1 + 6%/2)^4 </t>
  </si>
  <si>
    <t>לכך נוסיף את שווי המתנה 15,000</t>
  </si>
  <si>
    <t>כך שהסכום הכולל שנקבל:</t>
  </si>
  <si>
    <t>100,000 * (1 + 6%/2)^4  + 15,000 = 127,551</t>
  </si>
  <si>
    <t>שימו לב - בטכניקה שעמה פועלים, היחס בין תזרימי המזומנים בסוף ובתחילה יירשם בערך מוחלט.</t>
  </si>
  <si>
    <t>המרה של ריבית אפקטיבית מתקופה אחת לאחרת לעולם לא יבוצע בגישה של כפל או חילוק, אלא באמצעות</t>
  </si>
  <si>
    <t>מעריך חזקה מתאים שמבוסס על הנוסחה הבאה:</t>
  </si>
  <si>
    <t>הערה</t>
  </si>
  <si>
    <t>הערה: בשיעור התייחסתי לפרעון</t>
  </si>
  <si>
    <t>הקרן ועמלת הסילוק בערך חיובי.</t>
  </si>
  <si>
    <t>סטודנטים אמרו לי שיותר קל להם להתייחס</t>
  </si>
  <si>
    <t>לזה בסימן שלילי - אבל במצב כזה בנוסחה תדאגו</t>
  </si>
  <si>
    <t xml:space="preserve">לקחת ערך מוחלט. </t>
  </si>
  <si>
    <t>הרצאה 7 - 21.5.2025 - חישובי הלוואות ולוחות סילוקין</t>
  </si>
  <si>
    <r>
      <rPr>
        <u/>
        <sz val="12"/>
        <color theme="1"/>
        <rFont val="David"/>
        <family val="2"/>
        <charset val="177"/>
      </rPr>
      <t>החודשית</t>
    </r>
    <r>
      <rPr>
        <sz val="12"/>
        <color theme="1"/>
        <rFont val="David"/>
        <family val="2"/>
        <charset val="177"/>
      </rPr>
      <t xml:space="preserve"> בהלוואה היא 0.4%. </t>
    </r>
    <r>
      <rPr>
        <b/>
        <sz val="12"/>
        <color theme="1"/>
        <rFont val="David"/>
        <family val="2"/>
        <charset val="177"/>
      </rPr>
      <t xml:space="preserve">נדרש: הציגו את לוח הסילוקין. </t>
    </r>
  </si>
  <si>
    <t>מספר התשלומים הכולל = זהה למס׳ החודשים ב-10 שנים</t>
  </si>
  <si>
    <r>
      <t xml:space="preserve">פתרון ב - חישוב ההחזר על חשבון </t>
    </r>
    <r>
      <rPr>
        <b/>
        <u/>
        <sz val="12"/>
        <color theme="1"/>
        <rFont val="David"/>
        <family val="2"/>
        <charset val="177"/>
      </rPr>
      <t>הקרן</t>
    </r>
    <r>
      <rPr>
        <b/>
        <sz val="12"/>
        <color theme="1"/>
        <rFont val="David"/>
        <family val="2"/>
        <charset val="177"/>
      </rPr>
      <t xml:space="preserve"> - PRN, בתשלום ה-28? פונקציית </t>
    </r>
    <r>
      <rPr>
        <b/>
        <sz val="12"/>
        <color rgb="FFFF0000"/>
        <rFont val="David"/>
        <family val="2"/>
        <charset val="177"/>
      </rPr>
      <t>PPMT</t>
    </r>
    <r>
      <rPr>
        <b/>
        <sz val="12"/>
        <color theme="1"/>
        <rFont val="David"/>
        <family val="2"/>
        <charset val="177"/>
      </rPr>
      <t>:</t>
    </r>
  </si>
  <si>
    <r>
      <t xml:space="preserve">מסקנה: התשלום על חשבון </t>
    </r>
    <r>
      <rPr>
        <u/>
        <sz val="12"/>
        <color theme="1"/>
        <rFont val="David"/>
        <family val="2"/>
        <charset val="177"/>
      </rPr>
      <t>הקרן</t>
    </r>
    <r>
      <rPr>
        <sz val="12"/>
        <color theme="1"/>
        <rFont val="David"/>
        <family val="2"/>
        <charset val="177"/>
      </rPr>
      <t xml:space="preserve"> שנכלל במסגרת ההחזר ה-28 הוא 46.45 ש״ח.</t>
    </r>
  </si>
  <si>
    <r>
      <t xml:space="preserve">הנדרש - התשלום על חשבון </t>
    </r>
    <r>
      <rPr>
        <u/>
        <sz val="12"/>
        <color theme="1"/>
        <rFont val="David"/>
        <family val="2"/>
        <charset val="177"/>
      </rPr>
      <t>קרן</t>
    </r>
    <r>
      <rPr>
        <sz val="12"/>
        <color theme="1"/>
        <rFont val="David"/>
        <family val="2"/>
        <charset val="177"/>
      </rPr>
      <t xml:space="preserve"> בהחזר ה-28 PPMT = Principal Payment</t>
    </r>
  </si>
  <si>
    <r>
      <t xml:space="preserve">פתרון ג - חישוב תשלום </t>
    </r>
    <r>
      <rPr>
        <b/>
        <u/>
        <sz val="12"/>
        <color theme="1"/>
        <rFont val="David"/>
        <family val="2"/>
        <charset val="177"/>
      </rPr>
      <t>הריבית</t>
    </r>
    <r>
      <rPr>
        <b/>
        <sz val="12"/>
        <color theme="1"/>
        <rFont val="David"/>
        <family val="2"/>
        <charset val="177"/>
      </rPr>
      <t xml:space="preserve">, הנכלל במסגרת התשלום ה-94? פונקציית </t>
    </r>
    <r>
      <rPr>
        <b/>
        <sz val="12"/>
        <color rgb="FFFF0000"/>
        <rFont val="David"/>
        <family val="2"/>
        <charset val="177"/>
      </rPr>
      <t>IPMT</t>
    </r>
    <r>
      <rPr>
        <b/>
        <sz val="12"/>
        <color theme="1"/>
        <rFont val="David"/>
        <family val="2"/>
        <charset val="177"/>
      </rPr>
      <t>:</t>
    </r>
  </si>
  <si>
    <t>הנדרש - תשלום הריבית המגולם בהחזר ספציפי שפיצרי</t>
  </si>
  <si>
    <r>
      <t xml:space="preserve">חישוב </t>
    </r>
    <r>
      <rPr>
        <b/>
        <sz val="12"/>
        <color theme="1"/>
        <rFont val="David"/>
        <family val="2"/>
        <charset val="177"/>
      </rPr>
      <t>יתרת הלוואה</t>
    </r>
    <r>
      <rPr>
        <sz val="12"/>
        <color theme="1"/>
        <rFont val="David"/>
        <family val="2"/>
        <charset val="177"/>
      </rPr>
      <t xml:space="preserve"> (יתרת קרן, BAL) הוא </t>
    </r>
    <r>
      <rPr>
        <u/>
        <sz val="12"/>
        <color theme="1"/>
        <rFont val="David"/>
        <family val="2"/>
        <charset val="177"/>
      </rPr>
      <t>הערך הנוכחי</t>
    </r>
    <r>
      <rPr>
        <sz val="12"/>
        <color theme="1"/>
        <rFont val="David"/>
        <family val="2"/>
        <charset val="177"/>
      </rPr>
      <t xml:space="preserve"> PV של </t>
    </r>
    <r>
      <rPr>
        <u/>
        <sz val="12"/>
        <color theme="1"/>
        <rFont val="David"/>
        <family val="2"/>
        <charset val="177"/>
      </rPr>
      <t>התשלומים שנותרו</t>
    </r>
    <r>
      <rPr>
        <sz val="12"/>
        <color theme="1"/>
        <rFont val="David"/>
        <family val="2"/>
        <charset val="177"/>
      </rPr>
      <t xml:space="preserve"> (שטרם בוצעו). </t>
    </r>
  </si>
  <si>
    <t xml:space="preserve">יתרת ההלוואה לכל מועד היא ה-PV של התשלומים שנותרו. </t>
  </si>
  <si>
    <t>ה-PMT שיוזן לטובת החישוב - הוא זה שכבר חולץ לפי נתוני ההלוואה המקוריים.</t>
  </si>
  <si>
    <t>הריבית התקופתית בהלוואה</t>
  </si>
  <si>
    <t>מספר התשלומים שנותרו (שטרם בוצעו)</t>
  </si>
  <si>
    <t>ה-PMT שחולץ מנתוני ההלוואה המקוריים לעיל</t>
  </si>
  <si>
    <t>הנדרש - יתרת ההלוואה בתור PV של התשלומים שטרם בוצעו</t>
  </si>
  <si>
    <t>חלקי מס׳ תשלומים</t>
  </si>
  <si>
    <t>LOAN/n</t>
  </si>
  <si>
    <t>LOAN-PRN</t>
  </si>
  <si>
    <t>LOAN-2PRN</t>
  </si>
  <si>
    <t>LOAN-3PRN</t>
  </si>
  <si>
    <t>LOAN-4PRN</t>
  </si>
  <si>
    <t>יתרה קודמת</t>
  </si>
  <si>
    <t>בניכוי תשלום קרן</t>
  </si>
  <si>
    <t>כפול ריבית</t>
  </si>
  <si>
    <t>BAL(פתיחה)*r</t>
  </si>
  <si>
    <t xml:space="preserve">סה״כ </t>
  </si>
  <si>
    <t>INT + PRN</t>
  </si>
  <si>
    <t>תמצית הנתונים ויישום: הלוואה 189 ש״ח, לשנה אחת, תשלומים חודשיים, ריבית נקובה שנתית 8%, משולמת חודשית.</t>
  </si>
  <si>
    <t>כדי לדעת במה לחלק נשאל: כמה תקופות</t>
  </si>
  <si>
    <t>חישוב (חודש) נכנסות בתקופה הנקובה (שנה)</t>
  </si>
  <si>
    <t xml:space="preserve">והתשובה 12. </t>
  </si>
  <si>
    <t>לטובת החזקה: כמה תקופות חישוב (חודש)</t>
  </si>
  <si>
    <t xml:space="preserve">נכנסות בתקופה הנדרשת (חודש) והתשובה 1. </t>
  </si>
  <si>
    <t>בחלק מפתרונות ש״ב מופיע במקרים דומים 12 / 8%</t>
  </si>
  <si>
    <t>זה לא סותר את החישוב לעיל אלא מציג דרך קיצור</t>
  </si>
  <si>
    <t>כאשר תקופת החישוב והתקופה הנדרשת זהות.</t>
  </si>
  <si>
    <t>שאלה 4.0.8 - לוח סילוקין רגיל - התאמות ריבית במקרה שונה</t>
  </si>
  <si>
    <t>פינקולדה נטלה הלוואה מבנק נועה בסכום של 5,000 ש״ח הנפרעת בתשלומי קרן חודשיים שווים במשך 3 שנים.</t>
  </si>
  <si>
    <t xml:space="preserve">הריבית השנתית האפקטיבית בהלוואה היא 12.6825%. </t>
  </si>
  <si>
    <t xml:space="preserve">נדרש: הציגו את לוח הסילוקין ל-5 התשלומים הראשונים בהלוואה. </t>
  </si>
  <si>
    <t>י״פ</t>
  </si>
  <si>
    <t>י״ס</t>
  </si>
  <si>
    <t>תשלומי קרן שווים:</t>
  </si>
  <si>
    <t>תשלומים שווים:</t>
  </si>
  <si>
    <t>לוח רגיל - PRN קבוע</t>
  </si>
  <si>
    <t>לוח שפיצר - PMT קבוע</t>
  </si>
  <si>
    <t>אני כאן:</t>
  </si>
  <si>
    <t>לידיעה:</t>
  </si>
  <si>
    <t>תשלום הקרן:</t>
  </si>
  <si>
    <t xml:space="preserve">היחס בין </t>
  </si>
  <si>
    <t>הכולל למספר</t>
  </si>
  <si>
    <t>התשלומים</t>
  </si>
  <si>
    <t xml:space="preserve">הכולל </t>
  </si>
  <si>
    <t xml:space="preserve">5,000 / 36 </t>
  </si>
  <si>
    <t>הריבית הנתונה שנתית אפקטיבית</t>
  </si>
  <si>
    <t>יש להמירה לחודשית אפקטיבית (תקופת תשלום היא חודש)</t>
  </si>
  <si>
    <t>הרצאה 8 - 28.5.2024 - חישובי הלוואות - המשך, טריקים והתחלת הצמדות</t>
  </si>
  <si>
    <t xml:space="preserve">הלוואה הנפרעת בתשלומים שווים = שפיצר. </t>
  </si>
  <si>
    <t xml:space="preserve">קומבינה מעוניינץ ליטול הלוואה בסך 100,000 ש״ח הנפרעת ב-10 תשלומי קרן שנתיים שווים. הריבית השנתית היא 7%. </t>
  </si>
  <si>
    <t>מס׳ תשלומים כולל</t>
  </si>
  <si>
    <t>המועד עליו שואלים</t>
  </si>
  <si>
    <t>כי רוצים לתקופה קודמת</t>
  </si>
  <si>
    <r>
      <t>PMT(9) = 210,202/55*(55-4+1)</t>
    </r>
    <r>
      <rPr>
        <sz val="11"/>
        <color rgb="FFFF0000"/>
        <rFont val="David"/>
        <family val="2"/>
        <charset val="177"/>
      </rPr>
      <t>*1%</t>
    </r>
    <r>
      <rPr>
        <sz val="11"/>
        <color theme="1"/>
        <rFont val="David"/>
        <family val="2"/>
        <charset val="177"/>
      </rPr>
      <t xml:space="preserve"> + </t>
    </r>
    <r>
      <rPr>
        <b/>
        <sz val="11"/>
        <color rgb="FF00B050"/>
        <rFont val="David"/>
        <family val="2"/>
        <charset val="177"/>
      </rPr>
      <t>210,202/55</t>
    </r>
    <r>
      <rPr>
        <sz val="11"/>
        <color theme="1"/>
        <rFont val="David"/>
        <family val="2"/>
        <charset val="177"/>
      </rPr>
      <t xml:space="preserve"> = </t>
    </r>
  </si>
  <si>
    <t>כאן: בזמן 7</t>
  </si>
  <si>
    <t>BAL6 * r = INT7</t>
  </si>
  <si>
    <t>באמצעות PV על תקופת הדחייה</t>
  </si>
  <si>
    <t xml:space="preserve">שאלה 6 - חילוצים מהלוואות עם גרייס - הדגמה נוספת									</t>
  </si>
  <si>
    <t xml:space="preserve">מספר התשלומים הכולל בהלוואה: 32. </t>
  </si>
  <si>
    <t xml:space="preserve">הריבית השנתית האפקטיבית 12%, ותשלום הריבית שיבוצע במסגרת ההחזר הראשון הוא בסך 8,000 ש״ח. </t>
  </si>
  <si>
    <t>נדרש: מהו סכום ההלוואה המקורי אותו נטלה פוקינדה?</t>
  </si>
  <si>
    <t xml:space="preserve">פוקינדה נטלה הלוואה שתפרע בתשלומים רבעוניים שווים, כאשר התשלום הראשון יבוצע בחלוף שנה וחצי. </t>
  </si>
  <si>
    <t xml:space="preserve">זיהוי השאלה: לוח שפיצר עם גרייס (תשלומים שווים, תשלום ראשון מאוחר בעתיד). </t>
  </si>
  <si>
    <t xml:space="preserve">היישום הנדרש - חילוץ סכום ההלוואה, שהוא בעצם PV לזמן 0. </t>
  </si>
  <si>
    <t>נחשב תחילה ריבית אפקטיבית רבעונית, כיאה לפרק הזמן בין תשלומים - לרבעון.</t>
  </si>
  <si>
    <t>הואיל ובשונה מדוגמאות קודמות הריבית אפקטיבית ולא נקובה, ההמרה תתבצע עם מעריך חזקה מתאים ולא עם חלוקה פשוטה.</t>
  </si>
  <si>
    <t xml:space="preserve">התשלום הראשון בעוד שנה וחצי, כלומר במונחי רבעונים התשלום הוא בזמן 6. </t>
  </si>
  <si>
    <t>נתייחס לסכום זה כאל FV שיתואם 5 תקופות נוספות לאחור באמצעות PV וזה יהיה סכום ההלוואה המקורי בזמן 0:</t>
  </si>
  <si>
    <t xml:space="preserve">מסקנה: סכום ההלוואה המקורי הוא 241,613 ש״ח. </t>
  </si>
  <si>
    <t>הרצאה 9 - 4.6.2025 - הצמדות ואינפלציה</t>
  </si>
  <si>
    <t>שאלה 1 - חישוב האינפלציה - כאשר נתונה על פי מדד ולא בערך אחוזי</t>
  </si>
  <si>
    <t xml:space="preserve">(1+20%) = </t>
  </si>
  <si>
    <t xml:space="preserve">(1-8.33%) = </t>
  </si>
  <si>
    <t xml:space="preserve">(1+20%)*(1-8.33%)*(1+10%)*(1+0%) - 1 = </t>
  </si>
  <si>
    <t>שאלה 2 - הצמדה למדד - חישוב פיננסי</t>
  </si>
  <si>
    <t>קרן</t>
  </si>
  <si>
    <t>בתוספת ריבית (לפני הצמדה)</t>
  </si>
  <si>
    <t>היחס בין המדד העדכני, במועד החישוב (סוף השנה) - 105.7 נתון</t>
  </si>
  <si>
    <t>לבין המדד המקורי במועד העמדת ההלוואה - 103.1</t>
  </si>
  <si>
    <t>האינפלציה היא היחס בין המדד העדכני</t>
  </si>
  <si>
    <t>לתום השנה כאן 105.7</t>
  </si>
  <si>
    <t>כל זה פחות 1</t>
  </si>
  <si>
    <t>לבין מדד הבסיס במועד נטילת ההלואה 103.1</t>
  </si>
  <si>
    <t>ב. חישוב סכום להחזר לפני הצמדה = ריאלי:</t>
  </si>
  <si>
    <t>הסכום הריאלי הוא: ״כמה הייתי מחזיר</t>
  </si>
  <si>
    <t>אם לא היתה אינפלציה״</t>
  </si>
  <si>
    <t>ובעצם במצב כזה ההחזר הוא הקרן + ריבית בלבד</t>
  </si>
  <si>
    <t>ההחזר הכולל: סכום ריאלי כפול 1 ועוד אינפלציה</t>
  </si>
  <si>
    <t>הריבית שהבנק מוכן לשלם במסלול הצמוד:</t>
  </si>
  <si>
    <t>הריבית שהבנק מוכן לשלם במסלול הלא-צמוד:</t>
  </si>
  <si>
    <t>הנחת ברירת מחדל: הצעות הבנק שקולות</t>
  </si>
  <si>
    <t>מבחינתו, כלומר מגלמות ריביות זהות.</t>
  </si>
  <si>
    <t>כאשר גורם מסוים (למשל, בנק) מציע 2 הצעות</t>
  </si>
  <si>
    <t>אלטרנטיביות, ברירת המחדל היא: הריבית</t>
  </si>
  <si>
    <t>הריאלית והנומינלית בהצעות השונות זהה.</t>
  </si>
  <si>
    <t xml:space="preserve">ככלל: לא באמת ניתן לנצח את הבנק לאורך זמן - כי הוא בונה את החלופות באופן שייצר שקילות ביניהן. </t>
  </si>
  <si>
    <t xml:space="preserve">יחד עם זאת - אם אני מומחה ריביות, ואני חושב שאני יודע יותר טוב מהבנק - </t>
  </si>
  <si>
    <t xml:space="preserve">אם אני מאמין שהאינפלציה בפועל (כי כאן זה רק צפי) תהיה גבוהה יותר מ-3.92% - אעדיף מסלול צמוד המעניק לי גם את עליית המדד. </t>
  </si>
  <si>
    <t xml:space="preserve">אם אני מאמין שהאינפלציה בפועל תהיה נמוכה יותר - אעדיף מסלול לא צמוד, שמבטיח 6% נומינלי בכל מקרה. </t>
  </si>
  <si>
    <t>שאלה 5 - לוחות סילוקין והצמדה - Shpizer</t>
  </si>
  <si>
    <t>סכום חודשי כולל לתשלום (PMT ריאליתוס, לפני הצמדה):</t>
  </si>
  <si>
    <t xml:space="preserve">שיעור האינפלציה בחודש הראשון שנתון בשאלה. </t>
  </si>
  <si>
    <r>
      <rPr>
        <b/>
        <sz val="11"/>
        <color theme="1"/>
        <rFont val="David"/>
        <family val="2"/>
        <charset val="177"/>
      </rPr>
      <t>פתרון סעיף ב</t>
    </r>
    <r>
      <rPr>
        <sz val="11"/>
        <color theme="1"/>
        <rFont val="David"/>
        <family val="2"/>
        <charset val="177"/>
      </rPr>
      <t xml:space="preserve"> - שאלו מה התשלום ה-5 הכולל (PMT בזמן 5), אחרי הצמדה, בהנחה שהמדד עלה ממועד נטילת ההלוואה מ-110 ל-114.4 (נתון):</t>
    </r>
  </si>
  <si>
    <t xml:space="preserve">3,597.89 * (114.4/110) = </t>
  </si>
  <si>
    <t>מדד עדכני בתום חודש 5</t>
  </si>
  <si>
    <t>במועד נטילת ההלוואה</t>
  </si>
  <si>
    <t>פחות 1 אם המטרה היא</t>
  </si>
  <si>
    <t>להגיע רק לשינוי (האינפלציה)</t>
  </si>
  <si>
    <t xml:space="preserve">בהלוואת שפיצר שיש בה 30 תשלומים, הנושאת ריבית תקופתית של 0.5%, וצמודה למדד - </t>
  </si>
  <si>
    <r>
      <t xml:space="preserve">מהי </t>
    </r>
    <r>
      <rPr>
        <b/>
        <sz val="11"/>
        <color theme="1"/>
        <rFont val="David"/>
        <family val="2"/>
        <charset val="177"/>
      </rPr>
      <t>יתרת החוב</t>
    </r>
    <r>
      <rPr>
        <sz val="11"/>
        <color theme="1"/>
        <rFont val="David"/>
        <family val="2"/>
        <charset val="177"/>
      </rPr>
      <t xml:space="preserve"> (כולל הצמדה) לאחר התשלום ה-5, אם ידוע שהמדד העדכני במועד זה הוא 114.4, </t>
    </r>
  </si>
  <si>
    <t>ככלל: חישוב יתרה בעסקה צמודה &gt;&gt;&gt; נחשב יתרה לפני הצמדה &gt;&gt;&gt; נכפול ביחס המדדים (או באחת ועוד אינפלציה באחוזים)</t>
  </si>
  <si>
    <t>למרות שבסעיפים קודמים פתרנו חלק, נעבוד כאן מאפס שיהיה לכם קל לעקוב:</t>
  </si>
  <si>
    <t>חילוץ PMT
לפני הצמדה</t>
  </si>
  <si>
    <t>חישוב יתרה
לזמן 5
לפני הצמדה</t>
  </si>
  <si>
    <t xml:space="preserve"> * 114.4/110 = </t>
  </si>
  <si>
    <t>מכפלה ביחס
המדדים</t>
  </si>
  <si>
    <t>תשובה
סופית</t>
  </si>
  <si>
    <t xml:space="preserve">והמדד ההיסטורי (במועד נטילת ההלוואה) היה 110. סכום ההלוואה 100,000. </t>
  </si>
  <si>
    <t>סיכום תהליכי העבודה שהוצגו בכל התרגילים בינתיים, לחובבי הז׳אנר:</t>
  </si>
  <si>
    <t xml:space="preserve">א. אם ידועים ערכי המדד באופן רציף על פני זמן - היחס בין כל שני מדדים עוקבים פחות אחת, זו האינפלציה לתקופה. </t>
  </si>
  <si>
    <t>שאלה מקבילה לעיל</t>
  </si>
  <si>
    <t>ב. אם רוצים את המדד הכולל לאחר כל התקופות הרציפות - אפשר:</t>
  </si>
  <si>
    <t>ב.1. לחשב כל אינפלציה לתקופה (כמו ב-א), פלוס אחת, ואז לכפול בין הערכים ולנכות 1 בסוף; או</t>
  </si>
  <si>
    <t>ב.2. פשוט לכפול את היחס בין המדד הסופי (לסוף כל התקופות) חלקי המדד ההתחלתי, כל זה פחות 1</t>
  </si>
  <si>
    <t>ג. בעסקה צמודה - חישוב סכום כולל לתשלום / לקבל אחרי הצמדה, הוא לפי:</t>
  </si>
  <si>
    <t>ב.1 הסכום הבסיסי כפול אחת ועוד אינפלציה באחוזים לכל התקופה; או</t>
  </si>
  <si>
    <t>ב.2 הסכום הבסיסי (לפני הצמדה) כפול היחס בין המדד הסופי חלקי המדד ההתחלתי</t>
  </si>
  <si>
    <t>ד. כאשר גורם ספציפי מציע מסלול צמוד או לא צמוד לבחירת הלקוח: יש להניח ריבית נומינלית וריאלית זהות במסלולים</t>
  </si>
  <si>
    <t>ה. כאשר גורם ספציפי מציע מסלול צמוד או לא צמוד: ניתן לחלץ את ציפיות האינפלציה על בסיס השוואה של הערכים</t>
  </si>
  <si>
    <t>ו.1. על ידי מכפלה ביחס בין המדדים (מדד עדכני למועד החישוב חלקי מדד בנטילת ההלוואה); או</t>
  </si>
  <si>
    <t>ו.2. על ידי מכפלה ב-1 ועוד שיעור האינפלציה</t>
  </si>
  <si>
    <t xml:space="preserve">ו. כאשר עוסקים בלוח שפיצר ורוצים תשלום ספציפי צמוד, ככל שניתן נתחיל מחילוץ ה-PMT, אם צריך נצמיד אותו: </t>
  </si>
  <si>
    <t>ז. כאשר עוסקים בלוח שפיצר ורוצים לדעת מה היתרה אחרי הצמדה, נחשב PMT, נחלץ PV לתשלומים שנותרו</t>
  </si>
  <si>
    <t>לפני הצמדה, ואז - נכפול ביחס בין המדדים או ב-1 ועוד שיעור האינפלציה כדי להגיע לתוצאה סופית</t>
  </si>
  <si>
    <t>ב. נניח כי בסך הכל עד לתום החודש ה-5 עלה המדד מ-110 נקודות ל-114.4 נק׳. מהו התשלום החודשי בפועל בתום החודש ה-5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</si>
</sst>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  <family val="2"/>
      <charset val="177"/>
    </font>
    <font>
      <sz val="16"/>
      <name val="David"/>
      <family val="2"/>
      <charset val="177"/>
    </font>
    <font>
      <b/>
      <u/>
      <sz val="16"/>
      <name val="David"/>
      <family val="2"/>
      <charset val="177"/>
    </font>
    <font>
      <u/>
      <sz val="16"/>
      <name val="David"/>
      <family val="2"/>
      <charset val="177"/>
    </font>
    <font>
      <sz val="11"/>
      <name val="David"/>
      <family val="2"/>
      <charset val="177"/>
    </font>
    <font>
      <sz val="11"/>
      <color theme="1"/>
      <name val="Calibri"/>
      <family val="2"/>
      <charset val="177"/>
      <scheme val="minor"/>
    </font>
    <font>
      <sz val="11"/>
      <color theme="1"/>
      <name val="David"/>
      <family val="2"/>
      <charset val="177"/>
    </font>
    <font>
      <b/>
      <sz val="11"/>
      <color theme="1"/>
      <name val="David"/>
      <family val="2"/>
      <charset val="177"/>
    </font>
    <font>
      <sz val="11"/>
      <color rgb="FFFF0000"/>
      <name val="David"/>
      <family val="2"/>
      <charset val="177"/>
    </font>
    <font>
      <sz val="11"/>
      <color rgb="FF0070C0"/>
      <name val="David"/>
      <family val="2"/>
      <charset val="177"/>
    </font>
    <font>
      <u/>
      <sz val="11"/>
      <color theme="1"/>
      <name val="David"/>
      <family val="2"/>
      <charset val="177"/>
    </font>
    <font>
      <b/>
      <sz val="11"/>
      <color rgb="FFFF0000"/>
      <name val="David"/>
      <family val="2"/>
      <charset val="177"/>
    </font>
    <font>
      <sz val="12"/>
      <color theme="1"/>
      <name val="David"/>
      <family val="2"/>
      <charset val="177"/>
    </font>
    <font>
      <b/>
      <sz val="12"/>
      <color theme="1"/>
      <name val="David"/>
      <family val="2"/>
      <charset val="177"/>
    </font>
    <font>
      <b/>
      <sz val="12"/>
      <color rgb="FFFF0000"/>
      <name val="David"/>
      <family val="2"/>
      <charset val="177"/>
    </font>
    <font>
      <sz val="10"/>
      <color theme="1"/>
      <name val="David"/>
      <family val="2"/>
      <charset val="177"/>
    </font>
    <font>
      <sz val="12"/>
      <color rgb="FFFF0000"/>
      <name val="David"/>
      <family val="2"/>
      <charset val="177"/>
    </font>
    <font>
      <sz val="12"/>
      <color rgb="FF0070C0"/>
      <name val="David"/>
      <family val="2"/>
      <charset val="177"/>
    </font>
    <font>
      <sz val="12"/>
      <color rgb="FF00B050"/>
      <name val="David"/>
      <family val="2"/>
      <charset val="177"/>
    </font>
    <font>
      <sz val="11"/>
      <color rgb="FF00B050"/>
      <name val="David"/>
      <family val="2"/>
      <charset val="177"/>
    </font>
    <font>
      <b/>
      <sz val="14"/>
      <color theme="1"/>
      <name val="David"/>
      <family val="2"/>
      <charset val="177"/>
    </font>
    <font>
      <b/>
      <sz val="12"/>
      <color rgb="FF0070C0"/>
      <name val="David"/>
      <family val="2"/>
      <charset val="177"/>
    </font>
    <font>
      <sz val="12"/>
      <color theme="0"/>
      <name val="David"/>
      <family val="2"/>
      <charset val="177"/>
    </font>
    <font>
      <sz val="11"/>
      <color theme="0"/>
      <name val="David"/>
      <family val="2"/>
      <charset val="177"/>
    </font>
    <font>
      <b/>
      <sz val="11"/>
      <color rgb="FF0070C0"/>
      <name val="David"/>
      <family val="2"/>
      <charset val="177"/>
    </font>
    <font>
      <b/>
      <sz val="11"/>
      <color rgb="FF000000"/>
      <name val="David"/>
      <family val="2"/>
      <charset val="177"/>
    </font>
    <font>
      <b/>
      <u/>
      <sz val="11"/>
      <color theme="1"/>
      <name val="David"/>
      <family val="2"/>
      <charset val="177"/>
    </font>
    <font>
      <sz val="11"/>
      <color theme="1"/>
      <name val="Cambria Math"/>
      <family val="1"/>
    </font>
    <font>
      <sz val="11"/>
      <color theme="4" tint="-0.249977111117893"/>
      <name val="David"/>
      <family val="2"/>
      <charset val="177"/>
    </font>
    <font>
      <sz val="11"/>
      <color rgb="FF7030A0"/>
      <name val="David"/>
      <family val="2"/>
      <charset val="177"/>
    </font>
    <font>
      <sz val="11"/>
      <color theme="5" tint="-0.249977111117893"/>
      <name val="David"/>
      <family val="2"/>
      <charset val="177"/>
    </font>
    <font>
      <sz val="12"/>
      <name val="David"/>
      <family val="2"/>
      <charset val="177"/>
    </font>
    <font>
      <b/>
      <sz val="12"/>
      <color theme="0"/>
      <name val="David"/>
      <family val="2"/>
      <charset val="177"/>
    </font>
    <font>
      <b/>
      <sz val="16"/>
      <color theme="1"/>
      <name val="David"/>
      <family val="2"/>
      <charset val="177"/>
    </font>
    <font>
      <b/>
      <sz val="11"/>
      <name val="David"/>
      <family val="2"/>
      <charset val="177"/>
    </font>
    <font>
      <b/>
      <u/>
      <sz val="12"/>
      <color theme="1"/>
      <name val="David"/>
      <family val="2"/>
      <charset val="177"/>
    </font>
    <font>
      <b/>
      <sz val="12"/>
      <name val="David"/>
      <family val="2"/>
      <charset val="177"/>
    </font>
    <font>
      <sz val="9"/>
      <color theme="1"/>
      <name val="David"/>
      <family val="2"/>
      <charset val="177"/>
    </font>
    <font>
      <sz val="10"/>
      <color rgb="FF000000"/>
      <name val="Arial"/>
      <family val="2"/>
    </font>
    <font>
      <b/>
      <sz val="11"/>
      <color rgb="FF7030A0"/>
      <name val="David"/>
      <family val="2"/>
      <charset val="177"/>
    </font>
    <font>
      <sz val="8"/>
      <name val="Calibri"/>
      <family val="2"/>
      <scheme val="minor"/>
    </font>
    <font>
      <b/>
      <sz val="16"/>
      <color rgb="FFFF0000"/>
      <name val="David"/>
      <family val="2"/>
      <charset val="177"/>
    </font>
    <font>
      <b/>
      <sz val="18"/>
      <name val="David"/>
      <family val="2"/>
      <charset val="177"/>
    </font>
    <font>
      <sz val="8"/>
      <color theme="1"/>
      <name val="David"/>
      <family val="2"/>
      <charset val="177"/>
    </font>
    <font>
      <sz val="12"/>
      <color theme="9" tint="0.39997558519241921"/>
      <name val="David"/>
      <family val="2"/>
      <charset val="177"/>
    </font>
    <font>
      <sz val="12"/>
      <color theme="2" tint="-9.9978637043366805E-2"/>
      <name val="David"/>
      <family val="2"/>
      <charset val="177"/>
    </font>
    <font>
      <u/>
      <sz val="12"/>
      <color theme="1"/>
      <name val="David"/>
      <family val="2"/>
      <charset val="177"/>
    </font>
    <font>
      <b/>
      <sz val="12"/>
      <color rgb="FF00B0F0"/>
      <name val="David"/>
      <family val="2"/>
      <charset val="177"/>
    </font>
    <font>
      <sz val="12"/>
      <color theme="5"/>
      <name val="David"/>
      <family val="2"/>
      <charset val="177"/>
    </font>
    <font>
      <b/>
      <sz val="12"/>
      <color rgb="FF7030A0"/>
      <name val="David"/>
      <family val="2"/>
      <charset val="177"/>
    </font>
    <font>
      <u/>
      <sz val="11"/>
      <color rgb="FF0070C0"/>
      <name val="David"/>
      <family val="2"/>
      <charset val="177"/>
    </font>
    <font>
      <sz val="12"/>
      <color rgb="FFFF7E79"/>
      <name val="David"/>
      <family val="2"/>
      <charset val="177"/>
    </font>
    <font>
      <sz val="11"/>
      <color rgb="FF00B0F0"/>
      <name val="David"/>
      <family val="2"/>
      <charset val="177"/>
    </font>
    <font>
      <b/>
      <sz val="11"/>
      <color rgb="FF00B050"/>
      <name val="David"/>
      <family val="2"/>
      <charset val="177"/>
    </font>
    <font>
      <b/>
      <sz val="10"/>
      <name val="David"/>
      <family val="2"/>
      <charset val="177"/>
    </font>
    <font>
      <sz val="16"/>
      <color theme="1"/>
      <name val="David"/>
      <family val="2"/>
      <charset val="177"/>
    </font>
    <font>
      <b/>
      <u/>
      <sz val="16"/>
      <color rgb="FFFF0000"/>
      <name val="David"/>
      <family val="2"/>
      <charset val="177"/>
    </font>
    <font>
      <b/>
      <sz val="18"/>
      <color theme="1"/>
      <name val="David"/>
      <family val="2"/>
      <charset val="177"/>
    </font>
    <font>
      <sz val="9"/>
      <color theme="0"/>
      <name val="David"/>
      <family val="2"/>
      <charset val="177"/>
    </font>
    <font>
      <b/>
      <sz val="12"/>
      <color theme="2" tint="-0.249977111117893"/>
      <name val="David"/>
      <family val="2"/>
      <charset val="177"/>
    </font>
    <font>
      <b/>
      <sz val="11"/>
      <color theme="0"/>
      <name val="David"/>
      <family val="2"/>
      <charset val="177"/>
    </font>
    <font>
      <b/>
      <u/>
      <sz val="11"/>
      <name val="David"/>
      <family val="2"/>
      <charset val="177"/>
    </font>
    <font>
      <strike/>
      <sz val="11"/>
      <color theme="1"/>
      <name val="David"/>
      <family val="2"/>
      <charset val="177"/>
    </font>
    <font>
      <b/>
      <sz val="20"/>
      <name val="David"/>
      <family val="2"/>
      <charset val="177"/>
    </font>
    <font>
      <sz val="9"/>
      <name val="David"/>
      <family val="2"/>
      <charset val="177"/>
    </font>
  </fonts>
  <fills count="32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  <fill>
      <patternFill patternType="solid">
        <fgColor theme="2" tint="-9.9978637043366805E-2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56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0" fontId="2" fillId="0" borderId="22" xfId="0" applyFont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17" xfId="0" applyFont="1" applyBorder="1"/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2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173" fontId="3" fillId="0" borderId="0" xfId="2" applyNumberFormat="1" applyFont="1" applyAlignment="1">
      <alignment horizontal="center"/>
    </xf>
    <xf numFmtId="8" fontId="2" fillId="0" borderId="12" xfId="0" applyNumberFormat="1" applyFont="1" applyBorder="1" applyAlignment="1">
      <alignment horizontal="center"/>
    </xf>
    <xf numFmtId="8" fontId="3" fillId="0" borderId="12" xfId="0" applyNumberFormat="1" applyFont="1" applyBorder="1" applyAlignment="1">
      <alignment horizontal="center"/>
    </xf>
    <xf numFmtId="0" fontId="3" fillId="8" borderId="0" xfId="0" applyFont="1" applyFill="1" applyAlignment="1">
      <alignment horizontal="center" wrapText="1"/>
    </xf>
    <xf numFmtId="2" fontId="3" fillId="8" borderId="12" xfId="0" applyNumberFormat="1" applyFont="1" applyFill="1" applyBorder="1" applyAlignment="1">
      <alignment horizontal="center"/>
    </xf>
    <xf numFmtId="2" fontId="65" fillId="27" borderId="12" xfId="0" applyNumberFormat="1" applyFont="1" applyFill="1" applyBorder="1" applyAlignment="1">
      <alignment horizontal="center"/>
    </xf>
    <xf numFmtId="4" fontId="3" fillId="27" borderId="6" xfId="0" applyNumberFormat="1" applyFont="1" applyFill="1" applyBorder="1" applyAlignment="1">
      <alignment horizontal="center"/>
    </xf>
    <xf numFmtId="8" fontId="6" fillId="3" borderId="0" xfId="0" applyNumberFormat="1" applyFont="1" applyFill="1" applyAlignment="1">
      <alignment horizontal="center"/>
    </xf>
    <xf numFmtId="0" fontId="45" fillId="0" borderId="0" xfId="0" applyFont="1" applyAlignment="1">
      <alignment horizontal="center"/>
    </xf>
    <xf numFmtId="10" fontId="6" fillId="3" borderId="0" xfId="0" applyNumberFormat="1" applyFont="1" applyFill="1" applyAlignment="1">
      <alignment horizontal="center"/>
    </xf>
    <xf numFmtId="172" fontId="8" fillId="6" borderId="0" xfId="0" applyNumberFormat="1" applyFont="1" applyFill="1" applyAlignment="1">
      <alignment horizontal="center"/>
    </xf>
    <xf numFmtId="2" fontId="14" fillId="0" borderId="0" xfId="0" applyNumberFormat="1" applyFont="1" applyAlignment="1">
      <alignment horizontal="center"/>
    </xf>
    <xf numFmtId="0" fontId="14" fillId="31" borderId="0" xfId="0" applyFont="1" applyFill="1"/>
    <xf numFmtId="0" fontId="14" fillId="31" borderId="0" xfId="0" applyFont="1" applyFill="1" applyAlignment="1">
      <alignment horizontal="center"/>
    </xf>
    <xf numFmtId="2" fontId="33" fillId="0" borderId="0" xfId="0" applyNumberFormat="1" applyFont="1" applyAlignment="1">
      <alignment horizontal="center"/>
    </xf>
    <xf numFmtId="10" fontId="33" fillId="0" borderId="0" xfId="0" applyNumberFormat="1" applyFont="1" applyAlignment="1">
      <alignment horizontal="center"/>
    </xf>
    <xf numFmtId="2" fontId="33" fillId="3" borderId="12" xfId="0" applyNumberFormat="1" applyFont="1" applyFill="1" applyBorder="1" applyAlignment="1">
      <alignment horizontal="center"/>
    </xf>
    <xf numFmtId="0" fontId="14" fillId="9" borderId="0" xfId="0" applyFont="1" applyFill="1"/>
    <xf numFmtId="169" fontId="14" fillId="0" borderId="0" xfId="2" applyNumberFormat="1" applyFont="1"/>
    <xf numFmtId="0" fontId="17" fillId="0" borderId="0" xfId="0" applyFont="1"/>
    <xf numFmtId="173" fontId="14" fillId="0" borderId="0" xfId="2" applyNumberFormat="1" applyFont="1"/>
    <xf numFmtId="0" fontId="17" fillId="9" borderId="0" xfId="0" applyFont="1" applyFill="1"/>
    <xf numFmtId="2" fontId="14" fillId="9" borderId="0" xfId="0" applyNumberFormat="1" applyFont="1" applyFill="1"/>
    <xf numFmtId="0" fontId="34" fillId="0" borderId="0" xfId="0" applyFont="1"/>
    <xf numFmtId="0" fontId="33" fillId="0" borderId="0" xfId="0" applyFont="1" applyAlignment="1">
      <alignment horizontal="left"/>
    </xf>
    <xf numFmtId="0" fontId="33" fillId="3" borderId="12" xfId="0" applyFont="1" applyFill="1" applyBorder="1" applyAlignment="1">
      <alignment horizontal="center"/>
    </xf>
    <xf numFmtId="0" fontId="14" fillId="25" borderId="0" xfId="0" applyFont="1" applyFill="1"/>
    <xf numFmtId="10" fontId="14" fillId="0" borderId="0" xfId="2" applyNumberFormat="1" applyFont="1"/>
    <xf numFmtId="172" fontId="14" fillId="14" borderId="0" xfId="2" applyNumberFormat="1" applyFont="1" applyFill="1" applyAlignment="1">
      <alignment horizontal="center"/>
    </xf>
    <xf numFmtId="0" fontId="15" fillId="25" borderId="0" xfId="0" applyFont="1" applyFill="1"/>
    <xf numFmtId="10" fontId="24" fillId="0" borderId="0" xfId="2" applyNumberFormat="1" applyFont="1" applyAlignment="1">
      <alignment horizontal="center"/>
    </xf>
    <xf numFmtId="2" fontId="33" fillId="16" borderId="0" xfId="0" applyNumberFormat="1" applyFont="1" applyFill="1" applyAlignment="1">
      <alignment horizontal="center"/>
    </xf>
    <xf numFmtId="0" fontId="14" fillId="15" borderId="0" xfId="0" applyFont="1" applyFill="1"/>
    <xf numFmtId="0" fontId="15" fillId="0" borderId="3" xfId="0" applyFont="1" applyBorder="1" applyAlignment="1">
      <alignment horizontal="center"/>
    </xf>
    <xf numFmtId="0" fontId="15" fillId="8" borderId="3" xfId="0" applyFont="1" applyFill="1" applyBorder="1" applyAlignment="1">
      <alignment horizontal="center"/>
    </xf>
    <xf numFmtId="0" fontId="15" fillId="16" borderId="3" xfId="0" applyFont="1" applyFill="1" applyBorder="1" applyAlignment="1">
      <alignment horizontal="center"/>
    </xf>
    <xf numFmtId="0" fontId="14" fillId="15" borderId="0" xfId="0" applyFont="1" applyFill="1" applyAlignment="1">
      <alignment horizontal="center"/>
    </xf>
    <xf numFmtId="174" fontId="14" fillId="0" borderId="0" xfId="2" applyNumberFormat="1" applyFont="1"/>
    <xf numFmtId="0" fontId="9" fillId="0" borderId="24" xfId="0" applyFont="1" applyBorder="1"/>
    <xf numFmtId="0" fontId="9" fillId="0" borderId="23" xfId="0" applyFont="1" applyBorder="1"/>
    <xf numFmtId="0" fontId="9" fillId="0" borderId="25" xfId="0" applyFont="1" applyBorder="1"/>
    <xf numFmtId="0" fontId="9" fillId="0" borderId="26" xfId="0" applyFont="1" applyBorder="1"/>
    <xf numFmtId="0" fontId="9" fillId="0" borderId="11" xfId="0" applyFont="1" applyBorder="1"/>
    <xf numFmtId="0" fontId="9" fillId="0" borderId="27" xfId="0" applyFont="1" applyBorder="1"/>
    <xf numFmtId="0" fontId="66" fillId="0" borderId="0" xfId="0" applyFont="1" applyAlignment="1">
      <alignment horizontal="center"/>
    </xf>
    <xf numFmtId="0" fontId="66" fillId="0" borderId="11" xfId="0" applyFont="1" applyBorder="1" applyAlignment="1">
      <alignment horizontal="center"/>
    </xf>
    <xf numFmtId="0" fontId="66" fillId="0" borderId="0" xfId="0" applyFont="1" applyAlignment="1">
      <alignment horizontal="right"/>
    </xf>
    <xf numFmtId="0" fontId="8" fillId="0" borderId="0" xfId="0" applyFont="1" applyAlignment="1">
      <alignment horizontal="left"/>
    </xf>
    <xf numFmtId="0" fontId="8" fillId="31" borderId="0" xfId="0" applyFont="1" applyFill="1"/>
    <xf numFmtId="178" fontId="8" fillId="0" borderId="0" xfId="2" applyNumberFormat="1" applyFont="1"/>
    <xf numFmtId="178" fontId="8" fillId="0" borderId="0" xfId="0" applyNumberFormat="1" applyFont="1"/>
    <xf numFmtId="2" fontId="8" fillId="3" borderId="0" xfId="0" applyNumberFormat="1" applyFont="1" applyFill="1"/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0" xfId="0" applyFont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10" fontId="14" fillId="0" borderId="0" xfId="2" applyNumberFormat="1" applyFont="1" applyAlignment="1">
      <alignment horizontal="center" vertic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172" fontId="14" fillId="14" borderId="0" xfId="2" applyNumberFormat="1" applyFont="1" applyFill="1" applyAlignment="1">
      <alignment horizontal="center" vertical="center"/>
    </xf>
    <xf numFmtId="0" fontId="14" fillId="0" borderId="0" xfId="0" applyFont="1" applyAlignment="1">
      <alignment horizontal="right" readingOrder="2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  <xf numFmtId="166" fontId="8" fillId="3" borderId="0" xfId="1" applyFont="1" applyFill="1" applyAlignment="1">
      <alignment horizontal="center"/>
    </xf>
    <xf numFmtId="0" fontId="8" fillId="0" borderId="6" xfId="0" applyFont="1" applyBorder="1" applyAlignment="1">
      <alignment horizontal="center"/>
    </xf>
    <xf numFmtId="0" fontId="8" fillId="0" borderId="11" xfId="0" applyFont="1" applyBorder="1" applyAlignment="1">
      <alignment horizontal="center" wrapText="1"/>
    </xf>
    <xf numFmtId="2" fontId="8" fillId="10" borderId="0" xfId="0" applyNumberFormat="1" applyFont="1" applyFill="1" applyAlignment="1">
      <alignment horizontal="center"/>
    </xf>
    <xf numFmtId="2" fontId="8" fillId="16" borderId="0" xfId="0" applyNumberFormat="1" applyFont="1" applyFill="1" applyAlignment="1">
      <alignment horizontal="center"/>
    </xf>
    <xf numFmtId="2" fontId="9" fillId="3" borderId="0" xfId="0" applyNumberFormat="1" applyFont="1" applyFill="1" applyAlignment="1">
      <alignment horizontal="center"/>
    </xf>
    <xf numFmtId="0" fontId="8" fillId="20" borderId="0" xfId="0" applyFont="1" applyFill="1"/>
    <xf numFmtId="0" fontId="8" fillId="0" borderId="0" xfId="0" applyFont="1" applyAlignment="1">
      <alignment horizontal="center" vertical="center"/>
    </xf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00FA00"/>
      <color rgb="FFFF8AD8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jpe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1152252</xdr:colOff>
      <xdr:row>164</xdr:row>
      <xdr:rowOff>180828</xdr:rowOff>
    </xdr:from>
    <xdr:to>
      <xdr:col>4</xdr:col>
      <xdr:colOff>138482</xdr:colOff>
      <xdr:row>165</xdr:row>
      <xdr:rowOff>153237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21985459" y="43718278"/>
          <a:ext cx="243614" cy="249959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1173277</xdr:colOff>
      <xdr:row>164</xdr:row>
      <xdr:rowOff>147185</xdr:rowOff>
    </xdr:from>
    <xdr:to>
      <xdr:col>3</xdr:col>
      <xdr:colOff>162789</xdr:colOff>
      <xdr:row>165</xdr:row>
      <xdr:rowOff>191011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23218536" y="43684635"/>
          <a:ext cx="309975" cy="321376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1084698</xdr:colOff>
      <xdr:row>189</xdr:row>
      <xdr:rowOff>108469</xdr:rowOff>
    </xdr:from>
    <xdr:to>
      <xdr:col>4</xdr:col>
      <xdr:colOff>174487</xdr:colOff>
      <xdr:row>190</xdr:row>
      <xdr:rowOff>125947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31262453" y="51292633"/>
          <a:ext cx="346230" cy="28413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1368450</xdr:colOff>
      <xdr:row>80</xdr:row>
      <xdr:rowOff>152597</xdr:rowOff>
    </xdr:from>
    <xdr:to>
      <xdr:col>2</xdr:col>
      <xdr:colOff>134747</xdr:colOff>
      <xdr:row>81</xdr:row>
      <xdr:rowOff>147626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49652850" y="21388178"/>
          <a:ext cx="415328" cy="27561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156</xdr:row>
      <xdr:rowOff>193444</xdr:rowOff>
    </xdr:from>
    <xdr:to>
      <xdr:col>4</xdr:col>
      <xdr:colOff>592948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21530993" y="41611424"/>
          <a:ext cx="3631" cy="327318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181651</xdr:colOff>
      <xdr:row>153</xdr:row>
      <xdr:rowOff>33642</xdr:rowOff>
    </xdr:from>
    <xdr:to>
      <xdr:col>5</xdr:col>
      <xdr:colOff>806492</xdr:colOff>
      <xdr:row>155</xdr:row>
      <xdr:rowOff>172165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C60D814-9905-BB81-96ED-EF93F280A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20060065" y="40644205"/>
          <a:ext cx="624841" cy="681006"/>
        </a:xfrm>
        <a:prstGeom prst="rect">
          <a:avLst/>
        </a:prstGeom>
      </xdr:spPr>
    </xdr:pic>
    <xdr:clientData/>
  </xdr:twoCellAnchor>
  <xdr:twoCellAnchor>
    <xdr:from>
      <xdr:col>5</xdr:col>
      <xdr:colOff>176624</xdr:colOff>
      <xdr:row>153</xdr:row>
      <xdr:rowOff>100926</xdr:rowOff>
    </xdr:from>
    <xdr:to>
      <xdr:col>5</xdr:col>
      <xdr:colOff>733111</xdr:colOff>
      <xdr:row>156</xdr:row>
      <xdr:rowOff>88311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CF6B3E9A-62D1-D88C-7BB0-9A43F63E4FC3}"/>
            </a:ext>
          </a:extLst>
        </xdr:cNvPr>
        <xdr:cNvSpPr/>
      </xdr:nvSpPr>
      <xdr:spPr>
        <a:xfrm>
          <a:off x="11020133446" y="40711489"/>
          <a:ext cx="556487" cy="794802"/>
        </a:xfrm>
        <a:custGeom>
          <a:avLst/>
          <a:gdLst>
            <a:gd name="connsiteX0" fmla="*/ 283143 w 556487"/>
            <a:gd name="connsiteY0" fmla="*/ 0 h 794802"/>
            <a:gd name="connsiteX1" fmla="*/ 371454 w 556487"/>
            <a:gd name="connsiteY1" fmla="*/ 71490 h 794802"/>
            <a:gd name="connsiteX2" fmla="*/ 400891 w 556487"/>
            <a:gd name="connsiteY2" fmla="*/ 109338 h 794802"/>
            <a:gd name="connsiteX3" fmla="*/ 413507 w 556487"/>
            <a:gd name="connsiteY3" fmla="*/ 121954 h 794802"/>
            <a:gd name="connsiteX4" fmla="*/ 421917 w 556487"/>
            <a:gd name="connsiteY4" fmla="*/ 134570 h 794802"/>
            <a:gd name="connsiteX5" fmla="*/ 442944 w 556487"/>
            <a:gd name="connsiteY5" fmla="*/ 172417 h 794802"/>
            <a:gd name="connsiteX6" fmla="*/ 463970 w 556487"/>
            <a:gd name="connsiteY6" fmla="*/ 201855 h 794802"/>
            <a:gd name="connsiteX7" fmla="*/ 472381 w 556487"/>
            <a:gd name="connsiteY7" fmla="*/ 218676 h 794802"/>
            <a:gd name="connsiteX8" fmla="*/ 480792 w 556487"/>
            <a:gd name="connsiteY8" fmla="*/ 231292 h 794802"/>
            <a:gd name="connsiteX9" fmla="*/ 493407 w 556487"/>
            <a:gd name="connsiteY9" fmla="*/ 264934 h 794802"/>
            <a:gd name="connsiteX10" fmla="*/ 501818 w 556487"/>
            <a:gd name="connsiteY10" fmla="*/ 277550 h 794802"/>
            <a:gd name="connsiteX11" fmla="*/ 506023 w 556487"/>
            <a:gd name="connsiteY11" fmla="*/ 294371 h 794802"/>
            <a:gd name="connsiteX12" fmla="*/ 514434 w 556487"/>
            <a:gd name="connsiteY12" fmla="*/ 370066 h 794802"/>
            <a:gd name="connsiteX13" fmla="*/ 518639 w 556487"/>
            <a:gd name="connsiteY13" fmla="*/ 403709 h 794802"/>
            <a:gd name="connsiteX14" fmla="*/ 522844 w 556487"/>
            <a:gd name="connsiteY14" fmla="*/ 571921 h 794802"/>
            <a:gd name="connsiteX15" fmla="*/ 531255 w 556487"/>
            <a:gd name="connsiteY15" fmla="*/ 635000 h 794802"/>
            <a:gd name="connsiteX16" fmla="*/ 535460 w 556487"/>
            <a:gd name="connsiteY16" fmla="*/ 576126 h 794802"/>
            <a:gd name="connsiteX17" fmla="*/ 531255 w 556487"/>
            <a:gd name="connsiteY17" fmla="*/ 546689 h 794802"/>
            <a:gd name="connsiteX18" fmla="*/ 514434 w 556487"/>
            <a:gd name="connsiteY18" fmla="*/ 454172 h 794802"/>
            <a:gd name="connsiteX19" fmla="*/ 501818 w 556487"/>
            <a:gd name="connsiteY19" fmla="*/ 395298 h 794802"/>
            <a:gd name="connsiteX20" fmla="*/ 493407 w 556487"/>
            <a:gd name="connsiteY20" fmla="*/ 336424 h 794802"/>
            <a:gd name="connsiteX21" fmla="*/ 463970 w 556487"/>
            <a:gd name="connsiteY21" fmla="*/ 231292 h 794802"/>
            <a:gd name="connsiteX22" fmla="*/ 459765 w 556487"/>
            <a:gd name="connsiteY22" fmla="*/ 214470 h 794802"/>
            <a:gd name="connsiteX23" fmla="*/ 451354 w 556487"/>
            <a:gd name="connsiteY23" fmla="*/ 189239 h 794802"/>
            <a:gd name="connsiteX24" fmla="*/ 447149 w 556487"/>
            <a:gd name="connsiteY24" fmla="*/ 159802 h 794802"/>
            <a:gd name="connsiteX25" fmla="*/ 442944 w 556487"/>
            <a:gd name="connsiteY25" fmla="*/ 147186 h 794802"/>
            <a:gd name="connsiteX26" fmla="*/ 438739 w 556487"/>
            <a:gd name="connsiteY26" fmla="*/ 126159 h 794802"/>
            <a:gd name="connsiteX27" fmla="*/ 430328 w 556487"/>
            <a:gd name="connsiteY27" fmla="*/ 100927 h 794802"/>
            <a:gd name="connsiteX28" fmla="*/ 426123 w 556487"/>
            <a:gd name="connsiteY28" fmla="*/ 88312 h 794802"/>
            <a:gd name="connsiteX29" fmla="*/ 421917 w 556487"/>
            <a:gd name="connsiteY29" fmla="*/ 75696 h 794802"/>
            <a:gd name="connsiteX30" fmla="*/ 417712 w 556487"/>
            <a:gd name="connsiteY30" fmla="*/ 63080 h 794802"/>
            <a:gd name="connsiteX31" fmla="*/ 388275 w 556487"/>
            <a:gd name="connsiteY31" fmla="*/ 46259 h 794802"/>
            <a:gd name="connsiteX32" fmla="*/ 375659 w 556487"/>
            <a:gd name="connsiteY32" fmla="*/ 42053 h 794802"/>
            <a:gd name="connsiteX33" fmla="*/ 329401 w 556487"/>
            <a:gd name="connsiteY33" fmla="*/ 33643 h 794802"/>
            <a:gd name="connsiteX34" fmla="*/ 308374 w 556487"/>
            <a:gd name="connsiteY34" fmla="*/ 25232 h 794802"/>
            <a:gd name="connsiteX35" fmla="*/ 295758 w 556487"/>
            <a:gd name="connsiteY35" fmla="*/ 21027 h 794802"/>
            <a:gd name="connsiteX36" fmla="*/ 249500 w 556487"/>
            <a:gd name="connsiteY36" fmla="*/ 25232 h 794802"/>
            <a:gd name="connsiteX37" fmla="*/ 236884 w 556487"/>
            <a:gd name="connsiteY37" fmla="*/ 33643 h 794802"/>
            <a:gd name="connsiteX38" fmla="*/ 207447 w 556487"/>
            <a:gd name="connsiteY38" fmla="*/ 46259 h 794802"/>
            <a:gd name="connsiteX39" fmla="*/ 190626 w 556487"/>
            <a:gd name="connsiteY39" fmla="*/ 58874 h 794802"/>
            <a:gd name="connsiteX40" fmla="*/ 161189 w 556487"/>
            <a:gd name="connsiteY40" fmla="*/ 71490 h 794802"/>
            <a:gd name="connsiteX41" fmla="*/ 152778 w 556487"/>
            <a:gd name="connsiteY41" fmla="*/ 84106 h 794802"/>
            <a:gd name="connsiteX42" fmla="*/ 140162 w 556487"/>
            <a:gd name="connsiteY42" fmla="*/ 126159 h 794802"/>
            <a:gd name="connsiteX43" fmla="*/ 123341 w 556487"/>
            <a:gd name="connsiteY43" fmla="*/ 164007 h 794802"/>
            <a:gd name="connsiteX44" fmla="*/ 114931 w 556487"/>
            <a:gd name="connsiteY44" fmla="*/ 180828 h 794802"/>
            <a:gd name="connsiteX45" fmla="*/ 102315 w 556487"/>
            <a:gd name="connsiteY45" fmla="*/ 218676 h 794802"/>
            <a:gd name="connsiteX46" fmla="*/ 93904 w 556487"/>
            <a:gd name="connsiteY46" fmla="*/ 256523 h 794802"/>
            <a:gd name="connsiteX47" fmla="*/ 85493 w 556487"/>
            <a:gd name="connsiteY47" fmla="*/ 273345 h 794802"/>
            <a:gd name="connsiteX48" fmla="*/ 77083 w 556487"/>
            <a:gd name="connsiteY48" fmla="*/ 336424 h 794802"/>
            <a:gd name="connsiteX49" fmla="*/ 72878 w 556487"/>
            <a:gd name="connsiteY49" fmla="*/ 357451 h 794802"/>
            <a:gd name="connsiteX50" fmla="*/ 68672 w 556487"/>
            <a:gd name="connsiteY50" fmla="*/ 395298 h 794802"/>
            <a:gd name="connsiteX51" fmla="*/ 77083 w 556487"/>
            <a:gd name="connsiteY51" fmla="*/ 613974 h 794802"/>
            <a:gd name="connsiteX52" fmla="*/ 85493 w 556487"/>
            <a:gd name="connsiteY52" fmla="*/ 660232 h 794802"/>
            <a:gd name="connsiteX53" fmla="*/ 93904 w 556487"/>
            <a:gd name="connsiteY53" fmla="*/ 693874 h 794802"/>
            <a:gd name="connsiteX54" fmla="*/ 106520 w 556487"/>
            <a:gd name="connsiteY54" fmla="*/ 765365 h 794802"/>
            <a:gd name="connsiteX55" fmla="*/ 110725 w 556487"/>
            <a:gd name="connsiteY55" fmla="*/ 782186 h 794802"/>
            <a:gd name="connsiteX56" fmla="*/ 119136 w 556487"/>
            <a:gd name="connsiteY56" fmla="*/ 794802 h 794802"/>
            <a:gd name="connsiteX57" fmla="*/ 110725 w 556487"/>
            <a:gd name="connsiteY57" fmla="*/ 769570 h 794802"/>
            <a:gd name="connsiteX58" fmla="*/ 98109 w 556487"/>
            <a:gd name="connsiteY58" fmla="*/ 744338 h 794802"/>
            <a:gd name="connsiteX59" fmla="*/ 89699 w 556487"/>
            <a:gd name="connsiteY59" fmla="*/ 672848 h 794802"/>
            <a:gd name="connsiteX60" fmla="*/ 77083 w 556487"/>
            <a:gd name="connsiteY60" fmla="*/ 639206 h 794802"/>
            <a:gd name="connsiteX61" fmla="*/ 64467 w 556487"/>
            <a:gd name="connsiteY61" fmla="*/ 601358 h 794802"/>
            <a:gd name="connsiteX62" fmla="*/ 60262 w 556487"/>
            <a:gd name="connsiteY62" fmla="*/ 567716 h 794802"/>
            <a:gd name="connsiteX63" fmla="*/ 51851 w 556487"/>
            <a:gd name="connsiteY63" fmla="*/ 517252 h 794802"/>
            <a:gd name="connsiteX64" fmla="*/ 60262 w 556487"/>
            <a:gd name="connsiteY64" fmla="*/ 311192 h 794802"/>
            <a:gd name="connsiteX65" fmla="*/ 68672 w 556487"/>
            <a:gd name="connsiteY65" fmla="*/ 277550 h 794802"/>
            <a:gd name="connsiteX66" fmla="*/ 77083 w 556487"/>
            <a:gd name="connsiteY66" fmla="*/ 243908 h 794802"/>
            <a:gd name="connsiteX67" fmla="*/ 85493 w 556487"/>
            <a:gd name="connsiteY67" fmla="*/ 210265 h 794802"/>
            <a:gd name="connsiteX68" fmla="*/ 102315 w 556487"/>
            <a:gd name="connsiteY68" fmla="*/ 168212 h 794802"/>
            <a:gd name="connsiteX69" fmla="*/ 114931 w 556487"/>
            <a:gd name="connsiteY69" fmla="*/ 138775 h 794802"/>
            <a:gd name="connsiteX70" fmla="*/ 119136 w 556487"/>
            <a:gd name="connsiteY70" fmla="*/ 126159 h 794802"/>
            <a:gd name="connsiteX71" fmla="*/ 123341 w 556487"/>
            <a:gd name="connsiteY71" fmla="*/ 109338 h 794802"/>
            <a:gd name="connsiteX72" fmla="*/ 135957 w 556487"/>
            <a:gd name="connsiteY72" fmla="*/ 100927 h 794802"/>
            <a:gd name="connsiteX73" fmla="*/ 156984 w 556487"/>
            <a:gd name="connsiteY73" fmla="*/ 75696 h 794802"/>
            <a:gd name="connsiteX74" fmla="*/ 194831 w 556487"/>
            <a:gd name="connsiteY74" fmla="*/ 50464 h 794802"/>
            <a:gd name="connsiteX75" fmla="*/ 224268 w 556487"/>
            <a:gd name="connsiteY75" fmla="*/ 33643 h 794802"/>
            <a:gd name="connsiteX76" fmla="*/ 257911 w 556487"/>
            <a:gd name="connsiteY76" fmla="*/ 37848 h 794802"/>
            <a:gd name="connsiteX77" fmla="*/ 312580 w 556487"/>
            <a:gd name="connsiteY77" fmla="*/ 42053 h 794802"/>
            <a:gd name="connsiteX78" fmla="*/ 354633 w 556487"/>
            <a:gd name="connsiteY78" fmla="*/ 50464 h 794802"/>
            <a:gd name="connsiteX79" fmla="*/ 371454 w 556487"/>
            <a:gd name="connsiteY79" fmla="*/ 67285 h 794802"/>
            <a:gd name="connsiteX80" fmla="*/ 375659 w 556487"/>
            <a:gd name="connsiteY80" fmla="*/ 79901 h 794802"/>
            <a:gd name="connsiteX81" fmla="*/ 384070 w 556487"/>
            <a:gd name="connsiteY81" fmla="*/ 96722 h 794802"/>
            <a:gd name="connsiteX82" fmla="*/ 413507 w 556487"/>
            <a:gd name="connsiteY82" fmla="*/ 134570 h 794802"/>
            <a:gd name="connsiteX83" fmla="*/ 421917 w 556487"/>
            <a:gd name="connsiteY83" fmla="*/ 151391 h 794802"/>
            <a:gd name="connsiteX84" fmla="*/ 438739 w 556487"/>
            <a:gd name="connsiteY84" fmla="*/ 176623 h 794802"/>
            <a:gd name="connsiteX85" fmla="*/ 455560 w 556487"/>
            <a:gd name="connsiteY85" fmla="*/ 218676 h 794802"/>
            <a:gd name="connsiteX86" fmla="*/ 463970 w 556487"/>
            <a:gd name="connsiteY86" fmla="*/ 260729 h 794802"/>
            <a:gd name="connsiteX87" fmla="*/ 476586 w 556487"/>
            <a:gd name="connsiteY87" fmla="*/ 319603 h 794802"/>
            <a:gd name="connsiteX88" fmla="*/ 506023 w 556487"/>
            <a:gd name="connsiteY88" fmla="*/ 386888 h 794802"/>
            <a:gd name="connsiteX89" fmla="*/ 514434 w 556487"/>
            <a:gd name="connsiteY89" fmla="*/ 424735 h 794802"/>
            <a:gd name="connsiteX90" fmla="*/ 522844 w 556487"/>
            <a:gd name="connsiteY90" fmla="*/ 449967 h 794802"/>
            <a:gd name="connsiteX91" fmla="*/ 527050 w 556487"/>
            <a:gd name="connsiteY91" fmla="*/ 475199 h 794802"/>
            <a:gd name="connsiteX92" fmla="*/ 531255 w 556487"/>
            <a:gd name="connsiteY92" fmla="*/ 542484 h 794802"/>
            <a:gd name="connsiteX93" fmla="*/ 535460 w 556487"/>
            <a:gd name="connsiteY93" fmla="*/ 571921 h 794802"/>
            <a:gd name="connsiteX94" fmla="*/ 539666 w 556487"/>
            <a:gd name="connsiteY94" fmla="*/ 618179 h 794802"/>
            <a:gd name="connsiteX95" fmla="*/ 535460 w 556487"/>
            <a:gd name="connsiteY95" fmla="*/ 601358 h 794802"/>
            <a:gd name="connsiteX96" fmla="*/ 527050 w 556487"/>
            <a:gd name="connsiteY96" fmla="*/ 521457 h 794802"/>
            <a:gd name="connsiteX97" fmla="*/ 522844 w 556487"/>
            <a:gd name="connsiteY97" fmla="*/ 479404 h 794802"/>
            <a:gd name="connsiteX98" fmla="*/ 518639 w 556487"/>
            <a:gd name="connsiteY98" fmla="*/ 433146 h 794802"/>
            <a:gd name="connsiteX99" fmla="*/ 510229 w 556487"/>
            <a:gd name="connsiteY99" fmla="*/ 391093 h 794802"/>
            <a:gd name="connsiteX100" fmla="*/ 501818 w 556487"/>
            <a:gd name="connsiteY100" fmla="*/ 328014 h 794802"/>
            <a:gd name="connsiteX101" fmla="*/ 497613 w 556487"/>
            <a:gd name="connsiteY101" fmla="*/ 306987 h 794802"/>
            <a:gd name="connsiteX102" fmla="*/ 489202 w 556487"/>
            <a:gd name="connsiteY102" fmla="*/ 290166 h 794802"/>
            <a:gd name="connsiteX103" fmla="*/ 480792 w 556487"/>
            <a:gd name="connsiteY103" fmla="*/ 260729 h 794802"/>
            <a:gd name="connsiteX104" fmla="*/ 472381 w 556487"/>
            <a:gd name="connsiteY104" fmla="*/ 243908 h 794802"/>
            <a:gd name="connsiteX105" fmla="*/ 463970 w 556487"/>
            <a:gd name="connsiteY105" fmla="*/ 218676 h 794802"/>
            <a:gd name="connsiteX106" fmla="*/ 447149 w 556487"/>
            <a:gd name="connsiteY106" fmla="*/ 180828 h 794802"/>
            <a:gd name="connsiteX107" fmla="*/ 442944 w 556487"/>
            <a:gd name="connsiteY107" fmla="*/ 164007 h 794802"/>
            <a:gd name="connsiteX108" fmla="*/ 426123 w 556487"/>
            <a:gd name="connsiteY108" fmla="*/ 134570 h 794802"/>
            <a:gd name="connsiteX109" fmla="*/ 413507 w 556487"/>
            <a:gd name="connsiteY109" fmla="*/ 121954 h 794802"/>
            <a:gd name="connsiteX110" fmla="*/ 400891 w 556487"/>
            <a:gd name="connsiteY110" fmla="*/ 105133 h 794802"/>
            <a:gd name="connsiteX111" fmla="*/ 371454 w 556487"/>
            <a:gd name="connsiteY111" fmla="*/ 84106 h 794802"/>
            <a:gd name="connsiteX112" fmla="*/ 337811 w 556487"/>
            <a:gd name="connsiteY112" fmla="*/ 54669 h 794802"/>
            <a:gd name="connsiteX113" fmla="*/ 299964 w 556487"/>
            <a:gd name="connsiteY113" fmla="*/ 37848 h 794802"/>
            <a:gd name="connsiteX114" fmla="*/ 283143 w 556487"/>
            <a:gd name="connsiteY114" fmla="*/ 29437 h 794802"/>
            <a:gd name="connsiteX115" fmla="*/ 190626 w 556487"/>
            <a:gd name="connsiteY115" fmla="*/ 50464 h 794802"/>
            <a:gd name="connsiteX116" fmla="*/ 156984 w 556487"/>
            <a:gd name="connsiteY116" fmla="*/ 58874 h 794802"/>
            <a:gd name="connsiteX117" fmla="*/ 123341 w 556487"/>
            <a:gd name="connsiteY117" fmla="*/ 88312 h 794802"/>
            <a:gd name="connsiteX118" fmla="*/ 93904 w 556487"/>
            <a:gd name="connsiteY118" fmla="*/ 117749 h 794802"/>
            <a:gd name="connsiteX119" fmla="*/ 85493 w 556487"/>
            <a:gd name="connsiteY119" fmla="*/ 142980 h 794802"/>
            <a:gd name="connsiteX120" fmla="*/ 77083 w 556487"/>
            <a:gd name="connsiteY120" fmla="*/ 180828 h 794802"/>
            <a:gd name="connsiteX121" fmla="*/ 68672 w 556487"/>
            <a:gd name="connsiteY121" fmla="*/ 206060 h 794802"/>
            <a:gd name="connsiteX122" fmla="*/ 60262 w 556487"/>
            <a:gd name="connsiteY122" fmla="*/ 218676 h 794802"/>
            <a:gd name="connsiteX123" fmla="*/ 51851 w 556487"/>
            <a:gd name="connsiteY123" fmla="*/ 243908 h 794802"/>
            <a:gd name="connsiteX124" fmla="*/ 43441 w 556487"/>
            <a:gd name="connsiteY124" fmla="*/ 273345 h 794802"/>
            <a:gd name="connsiteX125" fmla="*/ 35030 w 556487"/>
            <a:gd name="connsiteY125" fmla="*/ 285961 h 794802"/>
            <a:gd name="connsiteX126" fmla="*/ 22414 w 556487"/>
            <a:gd name="connsiteY126" fmla="*/ 315398 h 794802"/>
            <a:gd name="connsiteX127" fmla="*/ 14003 w 556487"/>
            <a:gd name="connsiteY127" fmla="*/ 374272 h 794802"/>
            <a:gd name="connsiteX128" fmla="*/ 9798 w 556487"/>
            <a:gd name="connsiteY128" fmla="*/ 391093 h 794802"/>
            <a:gd name="connsiteX129" fmla="*/ 5593 w 556487"/>
            <a:gd name="connsiteY129" fmla="*/ 412119 h 794802"/>
            <a:gd name="connsiteX130" fmla="*/ 1388 w 556487"/>
            <a:gd name="connsiteY130" fmla="*/ 445762 h 794802"/>
            <a:gd name="connsiteX131" fmla="*/ 9798 w 556487"/>
            <a:gd name="connsiteY131" fmla="*/ 605563 h 794802"/>
            <a:gd name="connsiteX132" fmla="*/ 18209 w 556487"/>
            <a:gd name="connsiteY132" fmla="*/ 630795 h 794802"/>
            <a:gd name="connsiteX133" fmla="*/ 26619 w 556487"/>
            <a:gd name="connsiteY133" fmla="*/ 660232 h 794802"/>
            <a:gd name="connsiteX134" fmla="*/ 35030 w 556487"/>
            <a:gd name="connsiteY134" fmla="*/ 672848 h 794802"/>
            <a:gd name="connsiteX135" fmla="*/ 47646 w 556487"/>
            <a:gd name="connsiteY135" fmla="*/ 702285 h 794802"/>
            <a:gd name="connsiteX136" fmla="*/ 60262 w 556487"/>
            <a:gd name="connsiteY136" fmla="*/ 727517 h 794802"/>
            <a:gd name="connsiteX137" fmla="*/ 81288 w 556487"/>
            <a:gd name="connsiteY137" fmla="*/ 748543 h 794802"/>
            <a:gd name="connsiteX138" fmla="*/ 98109 w 556487"/>
            <a:gd name="connsiteY138" fmla="*/ 773775 h 794802"/>
            <a:gd name="connsiteX139" fmla="*/ 81288 w 556487"/>
            <a:gd name="connsiteY139" fmla="*/ 735927 h 794802"/>
            <a:gd name="connsiteX140" fmla="*/ 72878 w 556487"/>
            <a:gd name="connsiteY140" fmla="*/ 710696 h 794802"/>
            <a:gd name="connsiteX141" fmla="*/ 64467 w 556487"/>
            <a:gd name="connsiteY141" fmla="*/ 689669 h 794802"/>
            <a:gd name="connsiteX142" fmla="*/ 60262 w 556487"/>
            <a:gd name="connsiteY142" fmla="*/ 672848 h 794802"/>
            <a:gd name="connsiteX143" fmla="*/ 56056 w 556487"/>
            <a:gd name="connsiteY143" fmla="*/ 660232 h 794802"/>
            <a:gd name="connsiteX144" fmla="*/ 51851 w 556487"/>
            <a:gd name="connsiteY144" fmla="*/ 643411 h 794802"/>
            <a:gd name="connsiteX145" fmla="*/ 43441 w 556487"/>
            <a:gd name="connsiteY145" fmla="*/ 622384 h 794802"/>
            <a:gd name="connsiteX146" fmla="*/ 39235 w 556487"/>
            <a:gd name="connsiteY146" fmla="*/ 588742 h 794802"/>
            <a:gd name="connsiteX147" fmla="*/ 26619 w 556487"/>
            <a:gd name="connsiteY147" fmla="*/ 559305 h 794802"/>
            <a:gd name="connsiteX148" fmla="*/ 5593 w 556487"/>
            <a:gd name="connsiteY148" fmla="*/ 492020 h 794802"/>
            <a:gd name="connsiteX149" fmla="*/ 5593 w 556487"/>
            <a:gd name="connsiteY149" fmla="*/ 349040 h 794802"/>
            <a:gd name="connsiteX150" fmla="*/ 14003 w 556487"/>
            <a:gd name="connsiteY150" fmla="*/ 315398 h 794802"/>
            <a:gd name="connsiteX151" fmla="*/ 18209 w 556487"/>
            <a:gd name="connsiteY151" fmla="*/ 294371 h 794802"/>
            <a:gd name="connsiteX152" fmla="*/ 26619 w 556487"/>
            <a:gd name="connsiteY152" fmla="*/ 277550 h 794802"/>
            <a:gd name="connsiteX153" fmla="*/ 30825 w 556487"/>
            <a:gd name="connsiteY153" fmla="*/ 260729 h 794802"/>
            <a:gd name="connsiteX154" fmla="*/ 39235 w 556487"/>
            <a:gd name="connsiteY154" fmla="*/ 235497 h 794802"/>
            <a:gd name="connsiteX155" fmla="*/ 43441 w 556487"/>
            <a:gd name="connsiteY155" fmla="*/ 218676 h 794802"/>
            <a:gd name="connsiteX156" fmla="*/ 51851 w 556487"/>
            <a:gd name="connsiteY156" fmla="*/ 206060 h 794802"/>
            <a:gd name="connsiteX157" fmla="*/ 60262 w 556487"/>
            <a:gd name="connsiteY157" fmla="*/ 180828 h 794802"/>
            <a:gd name="connsiteX158" fmla="*/ 64467 w 556487"/>
            <a:gd name="connsiteY158" fmla="*/ 168212 h 794802"/>
            <a:gd name="connsiteX159" fmla="*/ 81288 w 556487"/>
            <a:gd name="connsiteY159" fmla="*/ 142980 h 794802"/>
            <a:gd name="connsiteX160" fmla="*/ 89699 w 556487"/>
            <a:gd name="connsiteY160" fmla="*/ 130365 h 794802"/>
            <a:gd name="connsiteX161" fmla="*/ 106520 w 556487"/>
            <a:gd name="connsiteY161" fmla="*/ 96722 h 794802"/>
            <a:gd name="connsiteX162" fmla="*/ 119136 w 556487"/>
            <a:gd name="connsiteY162" fmla="*/ 75696 h 794802"/>
            <a:gd name="connsiteX163" fmla="*/ 131752 w 556487"/>
            <a:gd name="connsiteY163" fmla="*/ 63080 h 794802"/>
            <a:gd name="connsiteX164" fmla="*/ 173805 w 556487"/>
            <a:gd name="connsiteY164" fmla="*/ 33643 h 794802"/>
            <a:gd name="connsiteX165" fmla="*/ 262116 w 556487"/>
            <a:gd name="connsiteY165" fmla="*/ 37848 h 794802"/>
            <a:gd name="connsiteX166" fmla="*/ 287348 w 556487"/>
            <a:gd name="connsiteY166" fmla="*/ 50464 h 794802"/>
            <a:gd name="connsiteX167" fmla="*/ 304169 w 556487"/>
            <a:gd name="connsiteY167" fmla="*/ 63080 h 794802"/>
            <a:gd name="connsiteX168" fmla="*/ 333606 w 556487"/>
            <a:gd name="connsiteY168" fmla="*/ 92517 h 794802"/>
            <a:gd name="connsiteX169" fmla="*/ 371454 w 556487"/>
            <a:gd name="connsiteY169" fmla="*/ 121954 h 794802"/>
            <a:gd name="connsiteX170" fmla="*/ 388275 w 556487"/>
            <a:gd name="connsiteY170" fmla="*/ 138775 h 794802"/>
            <a:gd name="connsiteX171" fmla="*/ 405096 w 556487"/>
            <a:gd name="connsiteY171" fmla="*/ 151391 h 794802"/>
            <a:gd name="connsiteX172" fmla="*/ 434533 w 556487"/>
            <a:gd name="connsiteY172" fmla="*/ 185033 h 794802"/>
            <a:gd name="connsiteX173" fmla="*/ 451354 w 556487"/>
            <a:gd name="connsiteY173" fmla="*/ 218676 h 794802"/>
            <a:gd name="connsiteX174" fmla="*/ 459765 w 556487"/>
            <a:gd name="connsiteY174" fmla="*/ 235497 h 794802"/>
            <a:gd name="connsiteX175" fmla="*/ 472381 w 556487"/>
            <a:gd name="connsiteY175" fmla="*/ 273345 h 794802"/>
            <a:gd name="connsiteX176" fmla="*/ 497613 w 556487"/>
            <a:gd name="connsiteY176" fmla="*/ 340629 h 794802"/>
            <a:gd name="connsiteX177" fmla="*/ 506023 w 556487"/>
            <a:gd name="connsiteY177" fmla="*/ 361656 h 794802"/>
            <a:gd name="connsiteX178" fmla="*/ 510229 w 556487"/>
            <a:gd name="connsiteY178" fmla="*/ 382682 h 794802"/>
            <a:gd name="connsiteX179" fmla="*/ 527050 w 556487"/>
            <a:gd name="connsiteY179" fmla="*/ 424735 h 794802"/>
            <a:gd name="connsiteX180" fmla="*/ 535460 w 556487"/>
            <a:gd name="connsiteY180" fmla="*/ 462583 h 794802"/>
            <a:gd name="connsiteX181" fmla="*/ 539666 w 556487"/>
            <a:gd name="connsiteY181" fmla="*/ 479404 h 794802"/>
            <a:gd name="connsiteX182" fmla="*/ 543871 w 556487"/>
            <a:gd name="connsiteY182" fmla="*/ 492020 h 794802"/>
            <a:gd name="connsiteX183" fmla="*/ 548076 w 556487"/>
            <a:gd name="connsiteY183" fmla="*/ 517252 h 794802"/>
            <a:gd name="connsiteX184" fmla="*/ 552282 w 556487"/>
            <a:gd name="connsiteY184" fmla="*/ 576126 h 794802"/>
            <a:gd name="connsiteX185" fmla="*/ 556487 w 556487"/>
            <a:gd name="connsiteY185" fmla="*/ 626590 h 794802"/>
            <a:gd name="connsiteX186" fmla="*/ 552282 w 556487"/>
            <a:gd name="connsiteY186" fmla="*/ 639206 h 794802"/>
            <a:gd name="connsiteX187" fmla="*/ 552282 w 556487"/>
            <a:gd name="connsiteY187" fmla="*/ 635000 h 79480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  <a:cxn ang="0">
              <a:pos x="connsiteX102" y="connsiteY102"/>
            </a:cxn>
            <a:cxn ang="0">
              <a:pos x="connsiteX103" y="connsiteY103"/>
            </a:cxn>
            <a:cxn ang="0">
              <a:pos x="connsiteX104" y="connsiteY104"/>
            </a:cxn>
            <a:cxn ang="0">
              <a:pos x="connsiteX105" y="connsiteY105"/>
            </a:cxn>
            <a:cxn ang="0">
              <a:pos x="connsiteX106" y="connsiteY106"/>
            </a:cxn>
            <a:cxn ang="0">
              <a:pos x="connsiteX107" y="connsiteY107"/>
            </a:cxn>
            <a:cxn ang="0">
              <a:pos x="connsiteX108" y="connsiteY108"/>
            </a:cxn>
            <a:cxn ang="0">
              <a:pos x="connsiteX109" y="connsiteY109"/>
            </a:cxn>
            <a:cxn ang="0">
              <a:pos x="connsiteX110" y="connsiteY110"/>
            </a:cxn>
            <a:cxn ang="0">
              <a:pos x="connsiteX111" y="connsiteY111"/>
            </a:cxn>
            <a:cxn ang="0">
              <a:pos x="connsiteX112" y="connsiteY112"/>
            </a:cxn>
            <a:cxn ang="0">
              <a:pos x="connsiteX113" y="connsiteY113"/>
            </a:cxn>
            <a:cxn ang="0">
              <a:pos x="connsiteX114" y="connsiteY114"/>
            </a:cxn>
            <a:cxn ang="0">
              <a:pos x="connsiteX115" y="connsiteY115"/>
            </a:cxn>
            <a:cxn ang="0">
              <a:pos x="connsiteX116" y="connsiteY116"/>
            </a:cxn>
            <a:cxn ang="0">
              <a:pos x="connsiteX117" y="connsiteY117"/>
            </a:cxn>
            <a:cxn ang="0">
              <a:pos x="connsiteX118" y="connsiteY118"/>
            </a:cxn>
            <a:cxn ang="0">
              <a:pos x="connsiteX119" y="connsiteY119"/>
            </a:cxn>
            <a:cxn ang="0">
              <a:pos x="connsiteX120" y="connsiteY120"/>
            </a:cxn>
            <a:cxn ang="0">
              <a:pos x="connsiteX121" y="connsiteY121"/>
            </a:cxn>
            <a:cxn ang="0">
              <a:pos x="connsiteX122" y="connsiteY122"/>
            </a:cxn>
            <a:cxn ang="0">
              <a:pos x="connsiteX123" y="connsiteY123"/>
            </a:cxn>
            <a:cxn ang="0">
              <a:pos x="connsiteX124" y="connsiteY124"/>
            </a:cxn>
            <a:cxn ang="0">
              <a:pos x="connsiteX125" y="connsiteY125"/>
            </a:cxn>
            <a:cxn ang="0">
              <a:pos x="connsiteX126" y="connsiteY126"/>
            </a:cxn>
            <a:cxn ang="0">
              <a:pos x="connsiteX127" y="connsiteY127"/>
            </a:cxn>
            <a:cxn ang="0">
              <a:pos x="connsiteX128" y="connsiteY128"/>
            </a:cxn>
            <a:cxn ang="0">
              <a:pos x="connsiteX129" y="connsiteY129"/>
            </a:cxn>
            <a:cxn ang="0">
              <a:pos x="connsiteX130" y="connsiteY130"/>
            </a:cxn>
            <a:cxn ang="0">
              <a:pos x="connsiteX131" y="connsiteY131"/>
            </a:cxn>
            <a:cxn ang="0">
              <a:pos x="connsiteX132" y="connsiteY132"/>
            </a:cxn>
            <a:cxn ang="0">
              <a:pos x="connsiteX133" y="connsiteY133"/>
            </a:cxn>
            <a:cxn ang="0">
              <a:pos x="connsiteX134" y="connsiteY134"/>
            </a:cxn>
            <a:cxn ang="0">
              <a:pos x="connsiteX135" y="connsiteY135"/>
            </a:cxn>
            <a:cxn ang="0">
              <a:pos x="connsiteX136" y="connsiteY136"/>
            </a:cxn>
            <a:cxn ang="0">
              <a:pos x="connsiteX137" y="connsiteY137"/>
            </a:cxn>
            <a:cxn ang="0">
              <a:pos x="connsiteX138" y="connsiteY138"/>
            </a:cxn>
            <a:cxn ang="0">
              <a:pos x="connsiteX139" y="connsiteY139"/>
            </a:cxn>
            <a:cxn ang="0">
              <a:pos x="connsiteX140" y="connsiteY140"/>
            </a:cxn>
            <a:cxn ang="0">
              <a:pos x="connsiteX141" y="connsiteY141"/>
            </a:cxn>
            <a:cxn ang="0">
              <a:pos x="connsiteX142" y="connsiteY142"/>
            </a:cxn>
            <a:cxn ang="0">
              <a:pos x="connsiteX143" y="connsiteY143"/>
            </a:cxn>
            <a:cxn ang="0">
              <a:pos x="connsiteX144" y="connsiteY144"/>
            </a:cxn>
            <a:cxn ang="0">
              <a:pos x="connsiteX145" y="connsiteY145"/>
            </a:cxn>
            <a:cxn ang="0">
              <a:pos x="connsiteX146" y="connsiteY146"/>
            </a:cxn>
            <a:cxn ang="0">
              <a:pos x="connsiteX147" y="connsiteY147"/>
            </a:cxn>
            <a:cxn ang="0">
              <a:pos x="connsiteX148" y="connsiteY148"/>
            </a:cxn>
            <a:cxn ang="0">
              <a:pos x="connsiteX149" y="connsiteY149"/>
            </a:cxn>
            <a:cxn ang="0">
              <a:pos x="connsiteX150" y="connsiteY150"/>
            </a:cxn>
            <a:cxn ang="0">
              <a:pos x="connsiteX151" y="connsiteY151"/>
            </a:cxn>
            <a:cxn ang="0">
              <a:pos x="connsiteX152" y="connsiteY152"/>
            </a:cxn>
            <a:cxn ang="0">
              <a:pos x="connsiteX153" y="connsiteY153"/>
            </a:cxn>
            <a:cxn ang="0">
              <a:pos x="connsiteX154" y="connsiteY154"/>
            </a:cxn>
            <a:cxn ang="0">
              <a:pos x="connsiteX155" y="connsiteY155"/>
            </a:cxn>
            <a:cxn ang="0">
              <a:pos x="connsiteX156" y="connsiteY156"/>
            </a:cxn>
            <a:cxn ang="0">
              <a:pos x="connsiteX157" y="connsiteY157"/>
            </a:cxn>
            <a:cxn ang="0">
              <a:pos x="connsiteX158" y="connsiteY158"/>
            </a:cxn>
            <a:cxn ang="0">
              <a:pos x="connsiteX159" y="connsiteY159"/>
            </a:cxn>
            <a:cxn ang="0">
              <a:pos x="connsiteX160" y="connsiteY160"/>
            </a:cxn>
            <a:cxn ang="0">
              <a:pos x="connsiteX161" y="connsiteY161"/>
            </a:cxn>
            <a:cxn ang="0">
              <a:pos x="connsiteX162" y="connsiteY162"/>
            </a:cxn>
            <a:cxn ang="0">
              <a:pos x="connsiteX163" y="connsiteY163"/>
            </a:cxn>
            <a:cxn ang="0">
              <a:pos x="connsiteX164" y="connsiteY164"/>
            </a:cxn>
            <a:cxn ang="0">
              <a:pos x="connsiteX165" y="connsiteY165"/>
            </a:cxn>
            <a:cxn ang="0">
              <a:pos x="connsiteX166" y="connsiteY166"/>
            </a:cxn>
            <a:cxn ang="0">
              <a:pos x="connsiteX167" y="connsiteY167"/>
            </a:cxn>
            <a:cxn ang="0">
              <a:pos x="connsiteX168" y="connsiteY168"/>
            </a:cxn>
            <a:cxn ang="0">
              <a:pos x="connsiteX169" y="connsiteY169"/>
            </a:cxn>
            <a:cxn ang="0">
              <a:pos x="connsiteX170" y="connsiteY170"/>
            </a:cxn>
            <a:cxn ang="0">
              <a:pos x="connsiteX171" y="connsiteY171"/>
            </a:cxn>
            <a:cxn ang="0">
              <a:pos x="connsiteX172" y="connsiteY172"/>
            </a:cxn>
            <a:cxn ang="0">
              <a:pos x="connsiteX173" y="connsiteY173"/>
            </a:cxn>
            <a:cxn ang="0">
              <a:pos x="connsiteX174" y="connsiteY174"/>
            </a:cxn>
            <a:cxn ang="0">
              <a:pos x="connsiteX175" y="connsiteY175"/>
            </a:cxn>
            <a:cxn ang="0">
              <a:pos x="connsiteX176" y="connsiteY176"/>
            </a:cxn>
            <a:cxn ang="0">
              <a:pos x="connsiteX177" y="connsiteY177"/>
            </a:cxn>
            <a:cxn ang="0">
              <a:pos x="connsiteX178" y="connsiteY178"/>
            </a:cxn>
            <a:cxn ang="0">
              <a:pos x="connsiteX179" y="connsiteY179"/>
            </a:cxn>
            <a:cxn ang="0">
              <a:pos x="connsiteX180" y="connsiteY180"/>
            </a:cxn>
            <a:cxn ang="0">
              <a:pos x="connsiteX181" y="connsiteY181"/>
            </a:cxn>
            <a:cxn ang="0">
              <a:pos x="connsiteX182" y="connsiteY182"/>
            </a:cxn>
            <a:cxn ang="0">
              <a:pos x="connsiteX183" y="connsiteY183"/>
            </a:cxn>
            <a:cxn ang="0">
              <a:pos x="connsiteX184" y="connsiteY184"/>
            </a:cxn>
            <a:cxn ang="0">
              <a:pos x="connsiteX185" y="connsiteY185"/>
            </a:cxn>
            <a:cxn ang="0">
              <a:pos x="connsiteX186" y="connsiteY186"/>
            </a:cxn>
            <a:cxn ang="0">
              <a:pos x="connsiteX187" y="connsiteY187"/>
            </a:cxn>
          </a:cxnLst>
          <a:rect l="l" t="t" r="r" b="b"/>
          <a:pathLst>
            <a:path w="556487" h="794802">
              <a:moveTo>
                <a:pt x="283143" y="0"/>
              </a:moveTo>
              <a:cubicBezTo>
                <a:pt x="304384" y="15931"/>
                <a:pt x="359724" y="56408"/>
                <a:pt x="371454" y="71490"/>
              </a:cubicBezTo>
              <a:cubicBezTo>
                <a:pt x="381266" y="84106"/>
                <a:pt x="389590" y="98037"/>
                <a:pt x="400891" y="109338"/>
              </a:cubicBezTo>
              <a:cubicBezTo>
                <a:pt x="405096" y="113543"/>
                <a:pt x="409700" y="117385"/>
                <a:pt x="413507" y="121954"/>
              </a:cubicBezTo>
              <a:cubicBezTo>
                <a:pt x="416742" y="125837"/>
                <a:pt x="419238" y="130284"/>
                <a:pt x="421917" y="134570"/>
              </a:cubicBezTo>
              <a:cubicBezTo>
                <a:pt x="456933" y="190596"/>
                <a:pt x="416171" y="125564"/>
                <a:pt x="442944" y="172417"/>
              </a:cubicBezTo>
              <a:cubicBezTo>
                <a:pt x="454809" y="193181"/>
                <a:pt x="448921" y="177777"/>
                <a:pt x="463970" y="201855"/>
              </a:cubicBezTo>
              <a:cubicBezTo>
                <a:pt x="467293" y="207171"/>
                <a:pt x="469271" y="213233"/>
                <a:pt x="472381" y="218676"/>
              </a:cubicBezTo>
              <a:cubicBezTo>
                <a:pt x="474889" y="223064"/>
                <a:pt x="478284" y="226904"/>
                <a:pt x="480792" y="231292"/>
              </a:cubicBezTo>
              <a:cubicBezTo>
                <a:pt x="504819" y="273340"/>
                <a:pt x="475666" y="223539"/>
                <a:pt x="493407" y="264934"/>
              </a:cubicBezTo>
              <a:cubicBezTo>
                <a:pt x="495398" y="269580"/>
                <a:pt x="499014" y="273345"/>
                <a:pt x="501818" y="277550"/>
              </a:cubicBezTo>
              <a:cubicBezTo>
                <a:pt x="503220" y="283157"/>
                <a:pt x="504989" y="288685"/>
                <a:pt x="506023" y="294371"/>
              </a:cubicBezTo>
              <a:cubicBezTo>
                <a:pt x="511247" y="323102"/>
                <a:pt x="511162" y="338981"/>
                <a:pt x="514434" y="370066"/>
              </a:cubicBezTo>
              <a:cubicBezTo>
                <a:pt x="515617" y="381306"/>
                <a:pt x="517237" y="392495"/>
                <a:pt x="518639" y="403709"/>
              </a:cubicBezTo>
              <a:cubicBezTo>
                <a:pt x="520041" y="459780"/>
                <a:pt x="520556" y="515879"/>
                <a:pt x="522844" y="571921"/>
              </a:cubicBezTo>
              <a:cubicBezTo>
                <a:pt x="523678" y="592359"/>
                <a:pt x="527861" y="614634"/>
                <a:pt x="531255" y="635000"/>
              </a:cubicBezTo>
              <a:cubicBezTo>
                <a:pt x="532657" y="615375"/>
                <a:pt x="535460" y="595801"/>
                <a:pt x="535460" y="576126"/>
              </a:cubicBezTo>
              <a:cubicBezTo>
                <a:pt x="535460" y="566214"/>
                <a:pt x="532939" y="556457"/>
                <a:pt x="531255" y="546689"/>
              </a:cubicBezTo>
              <a:cubicBezTo>
                <a:pt x="525929" y="515800"/>
                <a:pt x="521002" y="484821"/>
                <a:pt x="514434" y="454172"/>
              </a:cubicBezTo>
              <a:cubicBezTo>
                <a:pt x="510229" y="434547"/>
                <a:pt x="505346" y="415056"/>
                <a:pt x="501818" y="395298"/>
              </a:cubicBezTo>
              <a:cubicBezTo>
                <a:pt x="498333" y="375783"/>
                <a:pt x="497521" y="355816"/>
                <a:pt x="493407" y="336424"/>
              </a:cubicBezTo>
              <a:cubicBezTo>
                <a:pt x="472692" y="238766"/>
                <a:pt x="480264" y="285606"/>
                <a:pt x="463970" y="231292"/>
              </a:cubicBezTo>
              <a:cubicBezTo>
                <a:pt x="462309" y="225756"/>
                <a:pt x="461426" y="220006"/>
                <a:pt x="459765" y="214470"/>
              </a:cubicBezTo>
              <a:cubicBezTo>
                <a:pt x="457218" y="205979"/>
                <a:pt x="451354" y="189239"/>
                <a:pt x="451354" y="189239"/>
              </a:cubicBezTo>
              <a:cubicBezTo>
                <a:pt x="449952" y="179427"/>
                <a:pt x="449093" y="169521"/>
                <a:pt x="447149" y="159802"/>
              </a:cubicBezTo>
              <a:cubicBezTo>
                <a:pt x="446280" y="155455"/>
                <a:pt x="444019" y="151486"/>
                <a:pt x="442944" y="147186"/>
              </a:cubicBezTo>
              <a:cubicBezTo>
                <a:pt x="441211" y="140252"/>
                <a:pt x="440620" y="133055"/>
                <a:pt x="438739" y="126159"/>
              </a:cubicBezTo>
              <a:cubicBezTo>
                <a:pt x="436406" y="117606"/>
                <a:pt x="433132" y="109338"/>
                <a:pt x="430328" y="100927"/>
              </a:cubicBezTo>
              <a:lnTo>
                <a:pt x="426123" y="88312"/>
              </a:lnTo>
              <a:lnTo>
                <a:pt x="421917" y="75696"/>
              </a:lnTo>
              <a:cubicBezTo>
                <a:pt x="420515" y="71491"/>
                <a:pt x="421400" y="65539"/>
                <a:pt x="417712" y="63080"/>
              </a:cubicBezTo>
              <a:cubicBezTo>
                <a:pt x="405039" y="54631"/>
                <a:pt x="403218" y="52663"/>
                <a:pt x="388275" y="46259"/>
              </a:cubicBezTo>
              <a:cubicBezTo>
                <a:pt x="384201" y="44513"/>
                <a:pt x="380006" y="42922"/>
                <a:pt x="375659" y="42053"/>
              </a:cubicBezTo>
              <a:cubicBezTo>
                <a:pt x="353771" y="37675"/>
                <a:pt x="348100" y="39876"/>
                <a:pt x="329401" y="33643"/>
              </a:cubicBezTo>
              <a:cubicBezTo>
                <a:pt x="322239" y="31256"/>
                <a:pt x="315442" y="27883"/>
                <a:pt x="308374" y="25232"/>
              </a:cubicBezTo>
              <a:cubicBezTo>
                <a:pt x="304223" y="23676"/>
                <a:pt x="299963" y="22429"/>
                <a:pt x="295758" y="21027"/>
              </a:cubicBezTo>
              <a:cubicBezTo>
                <a:pt x="280339" y="22429"/>
                <a:pt x="264639" y="21988"/>
                <a:pt x="249500" y="25232"/>
              </a:cubicBezTo>
              <a:cubicBezTo>
                <a:pt x="244558" y="26291"/>
                <a:pt x="241405" y="31383"/>
                <a:pt x="236884" y="33643"/>
              </a:cubicBezTo>
              <a:cubicBezTo>
                <a:pt x="208259" y="47956"/>
                <a:pt x="242463" y="24374"/>
                <a:pt x="207447" y="46259"/>
              </a:cubicBezTo>
              <a:cubicBezTo>
                <a:pt x="201504" y="49974"/>
                <a:pt x="196569" y="55159"/>
                <a:pt x="190626" y="58874"/>
              </a:cubicBezTo>
              <a:cubicBezTo>
                <a:pt x="178745" y="66299"/>
                <a:pt x="173455" y="67401"/>
                <a:pt x="161189" y="71490"/>
              </a:cubicBezTo>
              <a:cubicBezTo>
                <a:pt x="158385" y="75695"/>
                <a:pt x="154769" y="79460"/>
                <a:pt x="152778" y="84106"/>
              </a:cubicBezTo>
              <a:cubicBezTo>
                <a:pt x="134656" y="126389"/>
                <a:pt x="168450" y="69579"/>
                <a:pt x="140162" y="126159"/>
              </a:cubicBezTo>
              <a:cubicBezTo>
                <a:pt x="119459" y="167567"/>
                <a:pt x="144818" y="115683"/>
                <a:pt x="123341" y="164007"/>
              </a:cubicBezTo>
              <a:cubicBezTo>
                <a:pt x="120795" y="169735"/>
                <a:pt x="117734" y="175221"/>
                <a:pt x="114931" y="180828"/>
              </a:cubicBezTo>
              <a:cubicBezTo>
                <a:pt x="102878" y="241086"/>
                <a:pt x="119725" y="166446"/>
                <a:pt x="102315" y="218676"/>
              </a:cubicBezTo>
              <a:cubicBezTo>
                <a:pt x="94331" y="242627"/>
                <a:pt x="101981" y="234985"/>
                <a:pt x="93904" y="256523"/>
              </a:cubicBezTo>
              <a:cubicBezTo>
                <a:pt x="91703" y="262393"/>
                <a:pt x="88297" y="267738"/>
                <a:pt x="85493" y="273345"/>
              </a:cubicBezTo>
              <a:cubicBezTo>
                <a:pt x="76209" y="310482"/>
                <a:pt x="85357" y="270225"/>
                <a:pt x="77083" y="336424"/>
              </a:cubicBezTo>
              <a:cubicBezTo>
                <a:pt x="76196" y="343517"/>
                <a:pt x="73889" y="350375"/>
                <a:pt x="72878" y="357451"/>
              </a:cubicBezTo>
              <a:cubicBezTo>
                <a:pt x="71083" y="370017"/>
                <a:pt x="70074" y="382682"/>
                <a:pt x="68672" y="395298"/>
              </a:cubicBezTo>
              <a:cubicBezTo>
                <a:pt x="70299" y="457114"/>
                <a:pt x="70225" y="545391"/>
                <a:pt x="77083" y="613974"/>
              </a:cubicBezTo>
              <a:cubicBezTo>
                <a:pt x="77841" y="621550"/>
                <a:pt x="83491" y="651555"/>
                <a:pt x="85493" y="660232"/>
              </a:cubicBezTo>
              <a:cubicBezTo>
                <a:pt x="88092" y="671495"/>
                <a:pt x="92269" y="682431"/>
                <a:pt x="93904" y="693874"/>
              </a:cubicBezTo>
              <a:cubicBezTo>
                <a:pt x="97739" y="720719"/>
                <a:pt x="99614" y="737741"/>
                <a:pt x="106520" y="765365"/>
              </a:cubicBezTo>
              <a:cubicBezTo>
                <a:pt x="107922" y="770972"/>
                <a:pt x="108448" y="776874"/>
                <a:pt x="110725" y="782186"/>
              </a:cubicBezTo>
              <a:cubicBezTo>
                <a:pt x="112716" y="786832"/>
                <a:pt x="116332" y="790597"/>
                <a:pt x="119136" y="794802"/>
              </a:cubicBezTo>
              <a:cubicBezTo>
                <a:pt x="116332" y="786391"/>
                <a:pt x="115643" y="776947"/>
                <a:pt x="110725" y="769570"/>
              </a:cubicBezTo>
              <a:cubicBezTo>
                <a:pt x="99856" y="753266"/>
                <a:pt x="103913" y="761749"/>
                <a:pt x="98109" y="744338"/>
              </a:cubicBezTo>
              <a:cubicBezTo>
                <a:pt x="97498" y="738228"/>
                <a:pt x="92674" y="684003"/>
                <a:pt x="89699" y="672848"/>
              </a:cubicBezTo>
              <a:cubicBezTo>
                <a:pt x="86613" y="661276"/>
                <a:pt x="81069" y="650500"/>
                <a:pt x="77083" y="639206"/>
              </a:cubicBezTo>
              <a:cubicBezTo>
                <a:pt x="72657" y="626666"/>
                <a:pt x="68672" y="613974"/>
                <a:pt x="64467" y="601358"/>
              </a:cubicBezTo>
              <a:cubicBezTo>
                <a:pt x="63065" y="590144"/>
                <a:pt x="61938" y="578892"/>
                <a:pt x="60262" y="567716"/>
              </a:cubicBezTo>
              <a:cubicBezTo>
                <a:pt x="57732" y="550851"/>
                <a:pt x="51851" y="517252"/>
                <a:pt x="51851" y="517252"/>
              </a:cubicBezTo>
              <a:cubicBezTo>
                <a:pt x="51879" y="516147"/>
                <a:pt x="51782" y="362068"/>
                <a:pt x="60262" y="311192"/>
              </a:cubicBezTo>
              <a:cubicBezTo>
                <a:pt x="62162" y="299790"/>
                <a:pt x="66405" y="288885"/>
                <a:pt x="68672" y="277550"/>
              </a:cubicBezTo>
              <a:cubicBezTo>
                <a:pt x="78966" y="226087"/>
                <a:pt x="67382" y="279482"/>
                <a:pt x="77083" y="243908"/>
              </a:cubicBezTo>
              <a:cubicBezTo>
                <a:pt x="80124" y="232756"/>
                <a:pt x="81200" y="220998"/>
                <a:pt x="85493" y="210265"/>
              </a:cubicBezTo>
              <a:cubicBezTo>
                <a:pt x="91100" y="196247"/>
                <a:pt x="98654" y="182859"/>
                <a:pt x="102315" y="168212"/>
              </a:cubicBezTo>
              <a:cubicBezTo>
                <a:pt x="107746" y="146488"/>
                <a:pt x="103314" y="156200"/>
                <a:pt x="114931" y="138775"/>
              </a:cubicBezTo>
              <a:cubicBezTo>
                <a:pt x="116333" y="134570"/>
                <a:pt x="117918" y="130421"/>
                <a:pt x="119136" y="126159"/>
              </a:cubicBezTo>
              <a:cubicBezTo>
                <a:pt x="120724" y="120602"/>
                <a:pt x="120135" y="114147"/>
                <a:pt x="123341" y="109338"/>
              </a:cubicBezTo>
              <a:cubicBezTo>
                <a:pt x="126145" y="105133"/>
                <a:pt x="131752" y="103731"/>
                <a:pt x="135957" y="100927"/>
              </a:cubicBezTo>
              <a:cubicBezTo>
                <a:pt x="143433" y="89714"/>
                <a:pt x="145776" y="84413"/>
                <a:pt x="156984" y="75696"/>
              </a:cubicBezTo>
              <a:cubicBezTo>
                <a:pt x="194948" y="46167"/>
                <a:pt x="169540" y="69432"/>
                <a:pt x="194831" y="50464"/>
              </a:cubicBezTo>
              <a:cubicBezTo>
                <a:pt x="215198" y="35188"/>
                <a:pt x="205003" y="40064"/>
                <a:pt x="224268" y="33643"/>
              </a:cubicBezTo>
              <a:cubicBezTo>
                <a:pt x="235482" y="35045"/>
                <a:pt x="246660" y="36777"/>
                <a:pt x="257911" y="37848"/>
              </a:cubicBezTo>
              <a:cubicBezTo>
                <a:pt x="276106" y="39581"/>
                <a:pt x="294457" y="39689"/>
                <a:pt x="312580" y="42053"/>
              </a:cubicBezTo>
              <a:cubicBezTo>
                <a:pt x="326755" y="43902"/>
                <a:pt x="354633" y="50464"/>
                <a:pt x="354633" y="50464"/>
              </a:cubicBezTo>
              <a:cubicBezTo>
                <a:pt x="360240" y="56071"/>
                <a:pt x="366845" y="60832"/>
                <a:pt x="371454" y="67285"/>
              </a:cubicBezTo>
              <a:cubicBezTo>
                <a:pt x="374030" y="70892"/>
                <a:pt x="373913" y="75827"/>
                <a:pt x="375659" y="79901"/>
              </a:cubicBezTo>
              <a:cubicBezTo>
                <a:pt x="378128" y="85663"/>
                <a:pt x="380845" y="91346"/>
                <a:pt x="384070" y="96722"/>
              </a:cubicBezTo>
              <a:cubicBezTo>
                <a:pt x="399161" y="121874"/>
                <a:pt x="396702" y="117765"/>
                <a:pt x="413507" y="134570"/>
              </a:cubicBezTo>
              <a:cubicBezTo>
                <a:pt x="416310" y="140177"/>
                <a:pt x="418692" y="146016"/>
                <a:pt x="421917" y="151391"/>
              </a:cubicBezTo>
              <a:cubicBezTo>
                <a:pt x="427118" y="160059"/>
                <a:pt x="434219" y="167582"/>
                <a:pt x="438739" y="176623"/>
              </a:cubicBezTo>
              <a:cubicBezTo>
                <a:pt x="447438" y="194022"/>
                <a:pt x="450365" y="197894"/>
                <a:pt x="455560" y="218676"/>
              </a:cubicBezTo>
              <a:cubicBezTo>
                <a:pt x="460669" y="239113"/>
                <a:pt x="460532" y="236666"/>
                <a:pt x="463970" y="260729"/>
              </a:cubicBezTo>
              <a:cubicBezTo>
                <a:pt x="468435" y="291982"/>
                <a:pt x="465262" y="292425"/>
                <a:pt x="476586" y="319603"/>
              </a:cubicBezTo>
              <a:cubicBezTo>
                <a:pt x="486770" y="344045"/>
                <a:pt x="500455" y="359053"/>
                <a:pt x="506023" y="386888"/>
              </a:cubicBezTo>
              <a:cubicBezTo>
                <a:pt x="508423" y="398886"/>
                <a:pt x="510873" y="412863"/>
                <a:pt x="514434" y="424735"/>
              </a:cubicBezTo>
              <a:cubicBezTo>
                <a:pt x="516981" y="433227"/>
                <a:pt x="521386" y="441222"/>
                <a:pt x="522844" y="449967"/>
              </a:cubicBezTo>
              <a:lnTo>
                <a:pt x="527050" y="475199"/>
              </a:lnTo>
              <a:cubicBezTo>
                <a:pt x="528452" y="497627"/>
                <a:pt x="529308" y="520096"/>
                <a:pt x="531255" y="542484"/>
              </a:cubicBezTo>
              <a:cubicBezTo>
                <a:pt x="532114" y="552359"/>
                <a:pt x="534365" y="562070"/>
                <a:pt x="535460" y="571921"/>
              </a:cubicBezTo>
              <a:cubicBezTo>
                <a:pt x="537170" y="587309"/>
                <a:pt x="543422" y="633200"/>
                <a:pt x="539666" y="618179"/>
              </a:cubicBezTo>
              <a:cubicBezTo>
                <a:pt x="538264" y="612572"/>
                <a:pt x="536494" y="607044"/>
                <a:pt x="535460" y="601358"/>
              </a:cubicBezTo>
              <a:cubicBezTo>
                <a:pt x="530129" y="572040"/>
                <a:pt x="529930" y="553139"/>
                <a:pt x="527050" y="521457"/>
              </a:cubicBezTo>
              <a:cubicBezTo>
                <a:pt x="525775" y="507427"/>
                <a:pt x="524180" y="493428"/>
                <a:pt x="522844" y="479404"/>
              </a:cubicBezTo>
              <a:cubicBezTo>
                <a:pt x="521376" y="463991"/>
                <a:pt x="520828" y="448473"/>
                <a:pt x="518639" y="433146"/>
              </a:cubicBezTo>
              <a:cubicBezTo>
                <a:pt x="516617" y="418994"/>
                <a:pt x="512459" y="405213"/>
                <a:pt x="510229" y="391093"/>
              </a:cubicBezTo>
              <a:cubicBezTo>
                <a:pt x="494231" y="289773"/>
                <a:pt x="515398" y="402708"/>
                <a:pt x="501818" y="328014"/>
              </a:cubicBezTo>
              <a:cubicBezTo>
                <a:pt x="500539" y="320982"/>
                <a:pt x="499873" y="313768"/>
                <a:pt x="497613" y="306987"/>
              </a:cubicBezTo>
              <a:cubicBezTo>
                <a:pt x="495631" y="301040"/>
                <a:pt x="492006" y="295773"/>
                <a:pt x="489202" y="290166"/>
              </a:cubicBezTo>
              <a:cubicBezTo>
                <a:pt x="487069" y="281633"/>
                <a:pt x="484411" y="269173"/>
                <a:pt x="480792" y="260729"/>
              </a:cubicBezTo>
              <a:cubicBezTo>
                <a:pt x="478323" y="254967"/>
                <a:pt x="474709" y="249728"/>
                <a:pt x="472381" y="243908"/>
              </a:cubicBezTo>
              <a:cubicBezTo>
                <a:pt x="469088" y="235676"/>
                <a:pt x="467262" y="226908"/>
                <a:pt x="463970" y="218676"/>
              </a:cubicBezTo>
              <a:cubicBezTo>
                <a:pt x="453232" y="191828"/>
                <a:pt x="458936" y="204401"/>
                <a:pt x="447149" y="180828"/>
              </a:cubicBezTo>
              <a:cubicBezTo>
                <a:pt x="445747" y="175221"/>
                <a:pt x="444973" y="169419"/>
                <a:pt x="442944" y="164007"/>
              </a:cubicBezTo>
              <a:cubicBezTo>
                <a:pt x="440141" y="156532"/>
                <a:pt x="431667" y="141223"/>
                <a:pt x="426123" y="134570"/>
              </a:cubicBezTo>
              <a:cubicBezTo>
                <a:pt x="422316" y="130001"/>
                <a:pt x="417377" y="126469"/>
                <a:pt x="413507" y="121954"/>
              </a:cubicBezTo>
              <a:cubicBezTo>
                <a:pt x="408946" y="116633"/>
                <a:pt x="405847" y="110089"/>
                <a:pt x="400891" y="105133"/>
              </a:cubicBezTo>
              <a:cubicBezTo>
                <a:pt x="382431" y="86673"/>
                <a:pt x="388167" y="98432"/>
                <a:pt x="371454" y="84106"/>
              </a:cubicBezTo>
              <a:cubicBezTo>
                <a:pt x="350388" y="66049"/>
                <a:pt x="360348" y="68754"/>
                <a:pt x="337811" y="54669"/>
              </a:cubicBezTo>
              <a:cubicBezTo>
                <a:pt x="325074" y="46709"/>
                <a:pt x="313763" y="43981"/>
                <a:pt x="299964" y="37848"/>
              </a:cubicBezTo>
              <a:cubicBezTo>
                <a:pt x="294235" y="35302"/>
                <a:pt x="288750" y="32241"/>
                <a:pt x="283143" y="29437"/>
              </a:cubicBezTo>
              <a:cubicBezTo>
                <a:pt x="159534" y="39739"/>
                <a:pt x="300317" y="23043"/>
                <a:pt x="190626" y="50464"/>
              </a:cubicBezTo>
              <a:lnTo>
                <a:pt x="156984" y="58874"/>
              </a:lnTo>
              <a:cubicBezTo>
                <a:pt x="103016" y="94854"/>
                <a:pt x="149625" y="59108"/>
                <a:pt x="123341" y="88312"/>
              </a:cubicBezTo>
              <a:cubicBezTo>
                <a:pt x="114058" y="98626"/>
                <a:pt x="93904" y="117749"/>
                <a:pt x="93904" y="117749"/>
              </a:cubicBezTo>
              <a:cubicBezTo>
                <a:pt x="91100" y="126159"/>
                <a:pt x="87231" y="134287"/>
                <a:pt x="85493" y="142980"/>
              </a:cubicBezTo>
              <a:cubicBezTo>
                <a:pt x="83093" y="154983"/>
                <a:pt x="80646" y="168952"/>
                <a:pt x="77083" y="180828"/>
              </a:cubicBezTo>
              <a:cubicBezTo>
                <a:pt x="74535" y="189320"/>
                <a:pt x="72273" y="197958"/>
                <a:pt x="68672" y="206060"/>
              </a:cubicBezTo>
              <a:cubicBezTo>
                <a:pt x="66619" y="210678"/>
                <a:pt x="62315" y="214058"/>
                <a:pt x="60262" y="218676"/>
              </a:cubicBezTo>
              <a:cubicBezTo>
                <a:pt x="56661" y="226778"/>
                <a:pt x="54001" y="235307"/>
                <a:pt x="51851" y="243908"/>
              </a:cubicBezTo>
              <a:cubicBezTo>
                <a:pt x="50504" y="249296"/>
                <a:pt x="46457" y="267313"/>
                <a:pt x="43441" y="273345"/>
              </a:cubicBezTo>
              <a:cubicBezTo>
                <a:pt x="41181" y="277866"/>
                <a:pt x="37834" y="281756"/>
                <a:pt x="35030" y="285961"/>
              </a:cubicBezTo>
              <a:cubicBezTo>
                <a:pt x="17978" y="354173"/>
                <a:pt x="44194" y="257320"/>
                <a:pt x="22414" y="315398"/>
              </a:cubicBezTo>
              <a:cubicBezTo>
                <a:pt x="17962" y="327271"/>
                <a:pt x="15017" y="367682"/>
                <a:pt x="14003" y="374272"/>
              </a:cubicBezTo>
              <a:cubicBezTo>
                <a:pt x="13124" y="379984"/>
                <a:pt x="11052" y="385451"/>
                <a:pt x="9798" y="391093"/>
              </a:cubicBezTo>
              <a:cubicBezTo>
                <a:pt x="8248" y="398070"/>
                <a:pt x="6680" y="405055"/>
                <a:pt x="5593" y="412119"/>
              </a:cubicBezTo>
              <a:cubicBezTo>
                <a:pt x="3875" y="423289"/>
                <a:pt x="2790" y="434548"/>
                <a:pt x="1388" y="445762"/>
              </a:cubicBezTo>
              <a:cubicBezTo>
                <a:pt x="1439" y="447189"/>
                <a:pt x="3356" y="571204"/>
                <a:pt x="9798" y="605563"/>
              </a:cubicBezTo>
              <a:cubicBezTo>
                <a:pt x="11432" y="614277"/>
                <a:pt x="16059" y="622194"/>
                <a:pt x="18209" y="630795"/>
              </a:cubicBezTo>
              <a:cubicBezTo>
                <a:pt x="19556" y="636183"/>
                <a:pt x="23603" y="654200"/>
                <a:pt x="26619" y="660232"/>
              </a:cubicBezTo>
              <a:cubicBezTo>
                <a:pt x="28879" y="664753"/>
                <a:pt x="32226" y="668643"/>
                <a:pt x="35030" y="672848"/>
              </a:cubicBezTo>
              <a:cubicBezTo>
                <a:pt x="43782" y="707857"/>
                <a:pt x="33125" y="673242"/>
                <a:pt x="47646" y="702285"/>
              </a:cubicBezTo>
              <a:cubicBezTo>
                <a:pt x="56249" y="719492"/>
                <a:pt x="46199" y="711445"/>
                <a:pt x="60262" y="727517"/>
              </a:cubicBezTo>
              <a:cubicBezTo>
                <a:pt x="66789" y="734976"/>
                <a:pt x="75012" y="740872"/>
                <a:pt x="81288" y="748543"/>
              </a:cubicBezTo>
              <a:cubicBezTo>
                <a:pt x="87689" y="756366"/>
                <a:pt x="102629" y="782816"/>
                <a:pt x="98109" y="773775"/>
              </a:cubicBezTo>
              <a:cubicBezTo>
                <a:pt x="89297" y="756150"/>
                <a:pt x="88446" y="755611"/>
                <a:pt x="81288" y="735927"/>
              </a:cubicBezTo>
              <a:cubicBezTo>
                <a:pt x="78258" y="727596"/>
                <a:pt x="75908" y="719027"/>
                <a:pt x="72878" y="710696"/>
              </a:cubicBezTo>
              <a:cubicBezTo>
                <a:pt x="70298" y="703602"/>
                <a:pt x="66854" y="696831"/>
                <a:pt x="64467" y="689669"/>
              </a:cubicBezTo>
              <a:cubicBezTo>
                <a:pt x="62639" y="684186"/>
                <a:pt x="61850" y="678405"/>
                <a:pt x="60262" y="672848"/>
              </a:cubicBezTo>
              <a:cubicBezTo>
                <a:pt x="59044" y="668586"/>
                <a:pt x="57274" y="664494"/>
                <a:pt x="56056" y="660232"/>
              </a:cubicBezTo>
              <a:cubicBezTo>
                <a:pt x="54468" y="654675"/>
                <a:pt x="53679" y="648894"/>
                <a:pt x="51851" y="643411"/>
              </a:cubicBezTo>
              <a:cubicBezTo>
                <a:pt x="49464" y="636249"/>
                <a:pt x="46244" y="629393"/>
                <a:pt x="43441" y="622384"/>
              </a:cubicBezTo>
              <a:cubicBezTo>
                <a:pt x="42039" y="611170"/>
                <a:pt x="42147" y="599662"/>
                <a:pt x="39235" y="588742"/>
              </a:cubicBezTo>
              <a:cubicBezTo>
                <a:pt x="36484" y="578427"/>
                <a:pt x="30310" y="569322"/>
                <a:pt x="26619" y="559305"/>
              </a:cubicBezTo>
              <a:cubicBezTo>
                <a:pt x="12114" y="519935"/>
                <a:pt x="12747" y="520640"/>
                <a:pt x="5593" y="492020"/>
              </a:cubicBezTo>
              <a:cubicBezTo>
                <a:pt x="-1291" y="430060"/>
                <a:pt x="-2418" y="437166"/>
                <a:pt x="5593" y="349040"/>
              </a:cubicBezTo>
              <a:cubicBezTo>
                <a:pt x="6639" y="337528"/>
                <a:pt x="11404" y="326661"/>
                <a:pt x="14003" y="315398"/>
              </a:cubicBezTo>
              <a:cubicBezTo>
                <a:pt x="15610" y="308433"/>
                <a:pt x="15949" y="301152"/>
                <a:pt x="18209" y="294371"/>
              </a:cubicBezTo>
              <a:cubicBezTo>
                <a:pt x="20191" y="288424"/>
                <a:pt x="24418" y="283420"/>
                <a:pt x="26619" y="277550"/>
              </a:cubicBezTo>
              <a:cubicBezTo>
                <a:pt x="28648" y="272138"/>
                <a:pt x="29164" y="266265"/>
                <a:pt x="30825" y="260729"/>
              </a:cubicBezTo>
              <a:cubicBezTo>
                <a:pt x="33373" y="252237"/>
                <a:pt x="37084" y="244098"/>
                <a:pt x="39235" y="235497"/>
              </a:cubicBezTo>
              <a:cubicBezTo>
                <a:pt x="40637" y="229890"/>
                <a:pt x="41164" y="223988"/>
                <a:pt x="43441" y="218676"/>
              </a:cubicBezTo>
              <a:cubicBezTo>
                <a:pt x="45432" y="214031"/>
                <a:pt x="49798" y="210678"/>
                <a:pt x="51851" y="206060"/>
              </a:cubicBezTo>
              <a:cubicBezTo>
                <a:pt x="55452" y="197958"/>
                <a:pt x="57458" y="189239"/>
                <a:pt x="60262" y="180828"/>
              </a:cubicBezTo>
              <a:cubicBezTo>
                <a:pt x="61664" y="176623"/>
                <a:pt x="62008" y="171900"/>
                <a:pt x="64467" y="168212"/>
              </a:cubicBezTo>
              <a:lnTo>
                <a:pt x="81288" y="142980"/>
              </a:lnTo>
              <a:cubicBezTo>
                <a:pt x="84091" y="138775"/>
                <a:pt x="87822" y="135058"/>
                <a:pt x="89699" y="130365"/>
              </a:cubicBezTo>
              <a:cubicBezTo>
                <a:pt x="102076" y="99419"/>
                <a:pt x="92522" y="119118"/>
                <a:pt x="106520" y="96722"/>
              </a:cubicBezTo>
              <a:cubicBezTo>
                <a:pt x="110852" y="89791"/>
                <a:pt x="114232" y="82235"/>
                <a:pt x="119136" y="75696"/>
              </a:cubicBezTo>
              <a:cubicBezTo>
                <a:pt x="122704" y="70938"/>
                <a:pt x="127276" y="66996"/>
                <a:pt x="131752" y="63080"/>
              </a:cubicBezTo>
              <a:cubicBezTo>
                <a:pt x="151686" y="45637"/>
                <a:pt x="151888" y="46793"/>
                <a:pt x="173805" y="33643"/>
              </a:cubicBezTo>
              <a:cubicBezTo>
                <a:pt x="203242" y="35045"/>
                <a:pt x="232747" y="35401"/>
                <a:pt x="262116" y="37848"/>
              </a:cubicBezTo>
              <a:cubicBezTo>
                <a:pt x="271550" y="38634"/>
                <a:pt x="280139" y="45315"/>
                <a:pt x="287348" y="50464"/>
              </a:cubicBezTo>
              <a:cubicBezTo>
                <a:pt x="293051" y="54538"/>
                <a:pt x="298983" y="58365"/>
                <a:pt x="304169" y="63080"/>
              </a:cubicBezTo>
              <a:cubicBezTo>
                <a:pt x="314437" y="72415"/>
                <a:pt x="322652" y="83998"/>
                <a:pt x="333606" y="92517"/>
              </a:cubicBezTo>
              <a:cubicBezTo>
                <a:pt x="346222" y="102329"/>
                <a:pt x="360153" y="110653"/>
                <a:pt x="371454" y="121954"/>
              </a:cubicBezTo>
              <a:cubicBezTo>
                <a:pt x="377061" y="127561"/>
                <a:pt x="382307" y="133553"/>
                <a:pt x="388275" y="138775"/>
              </a:cubicBezTo>
              <a:cubicBezTo>
                <a:pt x="393550" y="143390"/>
                <a:pt x="399821" y="146776"/>
                <a:pt x="405096" y="151391"/>
              </a:cubicBezTo>
              <a:cubicBezTo>
                <a:pt x="414707" y="159801"/>
                <a:pt x="427913" y="173684"/>
                <a:pt x="434533" y="185033"/>
              </a:cubicBezTo>
              <a:cubicBezTo>
                <a:pt x="440850" y="195863"/>
                <a:pt x="445747" y="207462"/>
                <a:pt x="451354" y="218676"/>
              </a:cubicBezTo>
              <a:lnTo>
                <a:pt x="459765" y="235497"/>
              </a:lnTo>
              <a:cubicBezTo>
                <a:pt x="467416" y="266104"/>
                <a:pt x="459713" y="238511"/>
                <a:pt x="472381" y="273345"/>
              </a:cubicBezTo>
              <a:cubicBezTo>
                <a:pt x="498764" y="345894"/>
                <a:pt x="455025" y="234155"/>
                <a:pt x="497613" y="340629"/>
              </a:cubicBezTo>
              <a:cubicBezTo>
                <a:pt x="500416" y="347638"/>
                <a:pt x="504542" y="354254"/>
                <a:pt x="506023" y="361656"/>
              </a:cubicBezTo>
              <a:cubicBezTo>
                <a:pt x="507425" y="368665"/>
                <a:pt x="507969" y="375901"/>
                <a:pt x="510229" y="382682"/>
              </a:cubicBezTo>
              <a:cubicBezTo>
                <a:pt x="515003" y="397005"/>
                <a:pt x="523389" y="410088"/>
                <a:pt x="527050" y="424735"/>
              </a:cubicBezTo>
              <a:cubicBezTo>
                <a:pt x="537317" y="465806"/>
                <a:pt x="524769" y="414477"/>
                <a:pt x="535460" y="462583"/>
              </a:cubicBezTo>
              <a:cubicBezTo>
                <a:pt x="536714" y="468225"/>
                <a:pt x="538078" y="473847"/>
                <a:pt x="539666" y="479404"/>
              </a:cubicBezTo>
              <a:cubicBezTo>
                <a:pt x="540884" y="483666"/>
                <a:pt x="542909" y="487693"/>
                <a:pt x="543871" y="492020"/>
              </a:cubicBezTo>
              <a:cubicBezTo>
                <a:pt x="545721" y="500344"/>
                <a:pt x="546674" y="508841"/>
                <a:pt x="548076" y="517252"/>
              </a:cubicBezTo>
              <a:cubicBezTo>
                <a:pt x="549478" y="536877"/>
                <a:pt x="550773" y="556509"/>
                <a:pt x="552282" y="576126"/>
              </a:cubicBezTo>
              <a:cubicBezTo>
                <a:pt x="553577" y="592956"/>
                <a:pt x="556487" y="609710"/>
                <a:pt x="556487" y="626590"/>
              </a:cubicBezTo>
              <a:cubicBezTo>
                <a:pt x="556487" y="631023"/>
                <a:pt x="554264" y="635241"/>
                <a:pt x="552282" y="639206"/>
              </a:cubicBezTo>
              <a:cubicBezTo>
                <a:pt x="551655" y="640460"/>
                <a:pt x="552282" y="636402"/>
                <a:pt x="552282" y="635000"/>
              </a:cubicBezTo>
            </a:path>
          </a:pathLst>
        </a:cu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979835</xdr:colOff>
      <xdr:row>151</xdr:row>
      <xdr:rowOff>218676</xdr:rowOff>
    </xdr:from>
    <xdr:to>
      <xdr:col>7</xdr:col>
      <xdr:colOff>790596</xdr:colOff>
      <xdr:row>154</xdr:row>
      <xdr:rowOff>164006</xdr:rowOff>
    </xdr:to>
    <xdr:sp macro="" textlink="">
      <xdr:nvSpPr>
        <xdr:cNvPr id="12" name="Rounded Rectangular Callout 11">
          <a:extLst>
            <a:ext uri="{FF2B5EF4-FFF2-40B4-BE49-F238E27FC236}">
              <a16:creationId xmlns:a16="http://schemas.microsoft.com/office/drawing/2014/main" id="{3F0C6855-8F3C-3487-6DE5-1A5B9E4340BE}"/>
            </a:ext>
          </a:extLst>
        </xdr:cNvPr>
        <xdr:cNvSpPr/>
      </xdr:nvSpPr>
      <xdr:spPr>
        <a:xfrm>
          <a:off x="11018322351" y="40299371"/>
          <a:ext cx="1564371" cy="740132"/>
        </a:xfrm>
        <a:prstGeom prst="wedgeRoundRectCallout">
          <a:avLst>
            <a:gd name="adj1" fmla="val 54973"/>
            <a:gd name="adj2" fmla="val 3522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חלום</a:t>
          </a:r>
          <a:r>
            <a:rPr lang="he-IL" sz="1100" baseline="0"/>
            <a:t> שלי 100,000 שקל</a:t>
          </a:r>
          <a:endParaRPr lang="en-US" sz="1100"/>
        </a:p>
      </xdr:txBody>
    </xdr:sp>
    <xdr:clientData/>
  </xdr:twoCellAnchor>
  <xdr:twoCellAnchor>
    <xdr:from>
      <xdr:col>4</xdr:col>
      <xdr:colOff>100928</xdr:colOff>
      <xdr:row>155</xdr:row>
      <xdr:rowOff>124057</xdr:rowOff>
    </xdr:from>
    <xdr:to>
      <xdr:col>5</xdr:col>
      <xdr:colOff>868394</xdr:colOff>
      <xdr:row>156</xdr:row>
      <xdr:rowOff>88311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59B1D0EF-EAF9-D4D0-F488-D09ED4177E68}"/>
            </a:ext>
          </a:extLst>
        </xdr:cNvPr>
        <xdr:cNvSpPr/>
      </xdr:nvSpPr>
      <xdr:spPr>
        <a:xfrm rot="16200000">
          <a:off x="11020895994" y="40379272"/>
          <a:ext cx="229188" cy="2024850"/>
        </a:xfrm>
        <a:prstGeom prst="leftBrace">
          <a:avLst>
            <a:gd name="adj1" fmla="val 8333"/>
            <a:gd name="adj2" fmla="val 75545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121</xdr:row>
      <xdr:rowOff>0</xdr:rowOff>
    </xdr:from>
    <xdr:to>
      <xdr:col>3</xdr:col>
      <xdr:colOff>395111</xdr:colOff>
      <xdr:row>122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133</xdr:row>
      <xdr:rowOff>101386</xdr:rowOff>
    </xdr:from>
    <xdr:to>
      <xdr:col>4</xdr:col>
      <xdr:colOff>90715</xdr:colOff>
      <xdr:row>134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133</xdr:row>
      <xdr:rowOff>101386</xdr:rowOff>
    </xdr:from>
    <xdr:to>
      <xdr:col>3</xdr:col>
      <xdr:colOff>90715</xdr:colOff>
      <xdr:row>134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133</xdr:row>
      <xdr:rowOff>101386</xdr:rowOff>
    </xdr:from>
    <xdr:to>
      <xdr:col>2</xdr:col>
      <xdr:colOff>90715</xdr:colOff>
      <xdr:row>134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133</xdr:row>
      <xdr:rowOff>101386</xdr:rowOff>
    </xdr:from>
    <xdr:to>
      <xdr:col>1</xdr:col>
      <xdr:colOff>90715</xdr:colOff>
      <xdr:row>134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161</xdr:row>
      <xdr:rowOff>65917</xdr:rowOff>
    </xdr:from>
    <xdr:to>
      <xdr:col>7</xdr:col>
      <xdr:colOff>272457</xdr:colOff>
      <xdr:row>161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158</xdr:row>
      <xdr:rowOff>138428</xdr:rowOff>
    </xdr:from>
    <xdr:to>
      <xdr:col>4</xdr:col>
      <xdr:colOff>410883</xdr:colOff>
      <xdr:row>160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163</xdr:row>
      <xdr:rowOff>184568</xdr:rowOff>
    </xdr:from>
    <xdr:to>
      <xdr:col>3</xdr:col>
      <xdr:colOff>457024</xdr:colOff>
      <xdr:row>165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603372</xdr:colOff>
      <xdr:row>32</xdr:row>
      <xdr:rowOff>9731</xdr:rowOff>
    </xdr:from>
    <xdr:to>
      <xdr:col>5</xdr:col>
      <xdr:colOff>77855</xdr:colOff>
      <xdr:row>34</xdr:row>
      <xdr:rowOff>43793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CFDA769C-A5F8-87F9-11ED-1A2A3C75EC92}"/>
            </a:ext>
          </a:extLst>
        </xdr:cNvPr>
        <xdr:cNvCxnSpPr/>
      </xdr:nvCxnSpPr>
      <xdr:spPr>
        <a:xfrm flipH="1">
          <a:off x="13548681149" y="6082375"/>
          <a:ext cx="301686" cy="4136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184058</xdr:colOff>
      <xdr:row>117</xdr:row>
      <xdr:rowOff>128718</xdr:rowOff>
    </xdr:from>
    <xdr:ext cx="2286456" cy="3480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4,000</m:t>
                        </m:r>
                      </m:num>
                      <m:den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1+9%</m:t>
                            </m:r>
                          </m:e>
                        </m:d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∗(1+7%)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89999901-3BBB-7028-44E3-30E6CB1CDAD9}"/>
                </a:ext>
              </a:extLst>
            </xdr:cNvPr>
            <xdr:cNvSpPr txBox="1"/>
          </xdr:nvSpPr>
          <xdr:spPr>
            <a:xfrm>
              <a:off x="13561129486" y="22442679"/>
              <a:ext cx="2286456" cy="3480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4,000/((1+9%)∗(1+7%))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98164</xdr:colOff>
      <xdr:row>118</xdr:row>
      <xdr:rowOff>42947</xdr:rowOff>
    </xdr:from>
    <xdr:to>
      <xdr:col>8</xdr:col>
      <xdr:colOff>460145</xdr:colOff>
      <xdr:row>118</xdr:row>
      <xdr:rowOff>177923</xdr:rowOff>
    </xdr:to>
    <xdr:sp macro="" textlink="">
      <xdr:nvSpPr>
        <xdr:cNvPr id="16" name="Left Arrow 15">
          <a:extLst>
            <a:ext uri="{FF2B5EF4-FFF2-40B4-BE49-F238E27FC236}">
              <a16:creationId xmlns:a16="http://schemas.microsoft.com/office/drawing/2014/main" id="{35D3DE52-8064-AC7E-A67C-B0A0F5BA0F33}"/>
            </a:ext>
          </a:extLst>
        </xdr:cNvPr>
        <xdr:cNvSpPr/>
      </xdr:nvSpPr>
      <xdr:spPr>
        <a:xfrm>
          <a:off x="13563139855" y="225471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377317</xdr:colOff>
      <xdr:row>115</xdr:row>
      <xdr:rowOff>162587</xdr:rowOff>
    </xdr:from>
    <xdr:to>
      <xdr:col>9</xdr:col>
      <xdr:colOff>512293</xdr:colOff>
      <xdr:row>117</xdr:row>
      <xdr:rowOff>131911</xdr:rowOff>
    </xdr:to>
    <xdr:sp macro="" textlink="">
      <xdr:nvSpPr>
        <xdr:cNvPr id="17" name="Left Arrow 16">
          <a:extLst>
            <a:ext uri="{FF2B5EF4-FFF2-40B4-BE49-F238E27FC236}">
              <a16:creationId xmlns:a16="http://schemas.microsoft.com/office/drawing/2014/main" id="{B6AFDEFE-8F59-FB97-84EC-A2469C8A8282}"/>
            </a:ext>
          </a:extLst>
        </xdr:cNvPr>
        <xdr:cNvSpPr/>
      </xdr:nvSpPr>
      <xdr:spPr>
        <a:xfrm rot="5400000">
          <a:off x="13562145943" y="22197394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9</xdr:col>
      <xdr:colOff>671809</xdr:colOff>
      <xdr:row>119</xdr:row>
      <xdr:rowOff>144181</xdr:rowOff>
    </xdr:from>
    <xdr:to>
      <xdr:col>9</xdr:col>
      <xdr:colOff>806785</xdr:colOff>
      <xdr:row>121</xdr:row>
      <xdr:rowOff>113505</xdr:rowOff>
    </xdr:to>
    <xdr:sp macro="" textlink="">
      <xdr:nvSpPr>
        <xdr:cNvPr id="18" name="Left Arrow 17">
          <a:extLst>
            <a:ext uri="{FF2B5EF4-FFF2-40B4-BE49-F238E27FC236}">
              <a16:creationId xmlns:a16="http://schemas.microsoft.com/office/drawing/2014/main" id="{40119305-B729-6AE3-16B9-44A1F523923C}"/>
            </a:ext>
          </a:extLst>
        </xdr:cNvPr>
        <xdr:cNvSpPr/>
      </xdr:nvSpPr>
      <xdr:spPr>
        <a:xfrm rot="16200000">
          <a:off x="13561851451" y="2295203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690213</xdr:colOff>
      <xdr:row>119</xdr:row>
      <xdr:rowOff>156451</xdr:rowOff>
    </xdr:from>
    <xdr:to>
      <xdr:col>8</xdr:col>
      <xdr:colOff>825189</xdr:colOff>
      <xdr:row>121</xdr:row>
      <xdr:rowOff>125775</xdr:rowOff>
    </xdr:to>
    <xdr:sp macro="" textlink="">
      <xdr:nvSpPr>
        <xdr:cNvPr id="19" name="Left Arrow 18">
          <a:extLst>
            <a:ext uri="{FF2B5EF4-FFF2-40B4-BE49-F238E27FC236}">
              <a16:creationId xmlns:a16="http://schemas.microsoft.com/office/drawing/2014/main" id="{3D23CBFA-51B9-4F09-4D16-5AEFB9586216}"/>
            </a:ext>
          </a:extLst>
        </xdr:cNvPr>
        <xdr:cNvSpPr/>
      </xdr:nvSpPr>
      <xdr:spPr>
        <a:xfrm rot="16200000">
          <a:off x="13562661308" y="22964302"/>
          <a:ext cx="361981" cy="13497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793750</xdr:colOff>
      <xdr:row>152</xdr:row>
      <xdr:rowOff>58796</xdr:rowOff>
    </xdr:from>
    <xdr:to>
      <xdr:col>2</xdr:col>
      <xdr:colOff>176389</xdr:colOff>
      <xdr:row>154</xdr:row>
      <xdr:rowOff>141111</xdr:rowOff>
    </xdr:to>
    <xdr:sp macro="" textlink="">
      <xdr:nvSpPr>
        <xdr:cNvPr id="20" name="Left Brace 19">
          <a:extLst>
            <a:ext uri="{FF2B5EF4-FFF2-40B4-BE49-F238E27FC236}">
              <a16:creationId xmlns:a16="http://schemas.microsoft.com/office/drawing/2014/main" id="{F90768D9-1F5B-D7B6-C6E9-4570B73D9F76}"/>
            </a:ext>
          </a:extLst>
        </xdr:cNvPr>
        <xdr:cNvSpPr/>
      </xdr:nvSpPr>
      <xdr:spPr>
        <a:xfrm>
          <a:off x="13484636574" y="28763148"/>
          <a:ext cx="205787" cy="458611"/>
        </a:xfrm>
        <a:prstGeom prst="leftBrac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717315</xdr:colOff>
      <xdr:row>193</xdr:row>
      <xdr:rowOff>47037</xdr:rowOff>
    </xdr:from>
    <xdr:to>
      <xdr:col>4</xdr:col>
      <xdr:colOff>76435</xdr:colOff>
      <xdr:row>193</xdr:row>
      <xdr:rowOff>170509</xdr:rowOff>
    </xdr:to>
    <xdr:sp macro="" textlink="">
      <xdr:nvSpPr>
        <xdr:cNvPr id="21" name="Right Arrow 20">
          <a:extLst>
            <a:ext uri="{FF2B5EF4-FFF2-40B4-BE49-F238E27FC236}">
              <a16:creationId xmlns:a16="http://schemas.microsoft.com/office/drawing/2014/main" id="{61E0EAE5-C99B-4B00-F425-42D7FA7FB9DD}"/>
            </a:ext>
          </a:extLst>
        </xdr:cNvPr>
        <xdr:cNvSpPr/>
      </xdr:nvSpPr>
      <xdr:spPr>
        <a:xfrm>
          <a:off x="13483090231" y="36500741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682037</xdr:colOff>
      <xdr:row>196</xdr:row>
      <xdr:rowOff>52917</xdr:rowOff>
    </xdr:from>
    <xdr:to>
      <xdr:col>3</xdr:col>
      <xdr:colOff>41158</xdr:colOff>
      <xdr:row>196</xdr:row>
      <xdr:rowOff>176389</xdr:rowOff>
    </xdr:to>
    <xdr:sp macro="" textlink="">
      <xdr:nvSpPr>
        <xdr:cNvPr id="22" name="Right Arrow 21">
          <a:extLst>
            <a:ext uri="{FF2B5EF4-FFF2-40B4-BE49-F238E27FC236}">
              <a16:creationId xmlns:a16="http://schemas.microsoft.com/office/drawing/2014/main" id="{DF1F4A86-8352-63D5-9E2D-92A9B15FE6CE}"/>
            </a:ext>
          </a:extLst>
        </xdr:cNvPr>
        <xdr:cNvSpPr/>
      </xdr:nvSpPr>
      <xdr:spPr>
        <a:xfrm>
          <a:off x="13483948657" y="37071065"/>
          <a:ext cx="182269" cy="123472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 editAs="oneCell">
    <xdr:from>
      <xdr:col>6</xdr:col>
      <xdr:colOff>411574</xdr:colOff>
      <xdr:row>187</xdr:row>
      <xdr:rowOff>123472</xdr:rowOff>
    </xdr:from>
    <xdr:to>
      <xdr:col>9</xdr:col>
      <xdr:colOff>177330</xdr:colOff>
      <xdr:row>200</xdr:row>
      <xdr:rowOff>39746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6E012A-9C6C-ECD1-39DE-E2E74F8F6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78873596" y="35448287"/>
          <a:ext cx="2235200" cy="2362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706782</xdr:colOff>
      <xdr:row>86</xdr:row>
      <xdr:rowOff>77191</xdr:rowOff>
    </xdr:from>
    <xdr:to>
      <xdr:col>2</xdr:col>
      <xdr:colOff>69644</xdr:colOff>
      <xdr:row>87</xdr:row>
      <xdr:rowOff>77304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4382614095" y="17928974"/>
          <a:ext cx="240818" cy="20441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695739</xdr:colOff>
      <xdr:row>111</xdr:row>
      <xdr:rowOff>80284</xdr:rowOff>
    </xdr:from>
    <xdr:to>
      <xdr:col>4</xdr:col>
      <xdr:colOff>78037</xdr:colOff>
      <xdr:row>112</xdr:row>
      <xdr:rowOff>110434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4380849789" y="23039675"/>
          <a:ext cx="260254" cy="234455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210</xdr:row>
      <xdr:rowOff>157345</xdr:rowOff>
    </xdr:from>
    <xdr:to>
      <xdr:col>7</xdr:col>
      <xdr:colOff>56194</xdr:colOff>
      <xdr:row>212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212</xdr:row>
      <xdr:rowOff>89912</xdr:rowOff>
    </xdr:from>
    <xdr:to>
      <xdr:col>6</xdr:col>
      <xdr:colOff>73052</xdr:colOff>
      <xdr:row>212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208</xdr:row>
      <xdr:rowOff>106770</xdr:rowOff>
    </xdr:from>
    <xdr:to>
      <xdr:col>6</xdr:col>
      <xdr:colOff>764247</xdr:colOff>
      <xdr:row>211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436</xdr:row>
      <xdr:rowOff>157345</xdr:rowOff>
    </xdr:from>
    <xdr:to>
      <xdr:col>7</xdr:col>
      <xdr:colOff>56194</xdr:colOff>
      <xdr:row>438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438</xdr:row>
      <xdr:rowOff>89912</xdr:rowOff>
    </xdr:from>
    <xdr:to>
      <xdr:col>6</xdr:col>
      <xdr:colOff>73052</xdr:colOff>
      <xdr:row>438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434</xdr:row>
      <xdr:rowOff>106770</xdr:rowOff>
    </xdr:from>
    <xdr:to>
      <xdr:col>6</xdr:col>
      <xdr:colOff>764247</xdr:colOff>
      <xdr:row>437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336825</xdr:colOff>
      <xdr:row>73</xdr:row>
      <xdr:rowOff>128104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A7DDDFF-4BF0-B1C2-29DF-537C5B3E87D8}"/>
                </a:ext>
              </a:extLst>
            </xdr:cNvPr>
            <xdr:cNvSpPr txBox="1"/>
          </xdr:nvSpPr>
          <xdr:spPr>
            <a:xfrm>
              <a:off x="14383456941" y="15268713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541130</xdr:colOff>
      <xdr:row>74</xdr:row>
      <xdr:rowOff>88346</xdr:rowOff>
    </xdr:from>
    <xdr:to>
      <xdr:col>0</xdr:col>
      <xdr:colOff>762000</xdr:colOff>
      <xdr:row>75</xdr:row>
      <xdr:rowOff>126999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9E5E69AB-3948-9F27-DA12-A2515F11E6B2}"/>
            </a:ext>
          </a:extLst>
        </xdr:cNvPr>
        <xdr:cNvSpPr/>
      </xdr:nvSpPr>
      <xdr:spPr>
        <a:xfrm>
          <a:off x="14383677652" y="15444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0</xdr:col>
      <xdr:colOff>708107</xdr:colOff>
      <xdr:row>70</xdr:row>
      <xdr:rowOff>64965</xdr:rowOff>
    </xdr:from>
    <xdr:to>
      <xdr:col>1</xdr:col>
      <xdr:colOff>53183</xdr:colOff>
      <xdr:row>73</xdr:row>
      <xdr:rowOff>121478</xdr:rowOff>
    </xdr:to>
    <xdr:sp macro="" textlink="">
      <xdr:nvSpPr>
        <xdr:cNvPr id="27" name="Freeform 26">
          <a:extLst>
            <a:ext uri="{FF2B5EF4-FFF2-40B4-BE49-F238E27FC236}">
              <a16:creationId xmlns:a16="http://schemas.microsoft.com/office/drawing/2014/main" id="{76C415E3-55B2-75CC-8027-4D7A1E478E84}"/>
            </a:ext>
          </a:extLst>
        </xdr:cNvPr>
        <xdr:cNvSpPr/>
      </xdr:nvSpPr>
      <xdr:spPr>
        <a:xfrm>
          <a:off x="14383508512" y="14592661"/>
          <a:ext cx="223033" cy="66942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0</xdr:col>
      <xdr:colOff>292651</xdr:colOff>
      <xdr:row>71</xdr:row>
      <xdr:rowOff>39757</xdr:rowOff>
    </xdr:from>
    <xdr:ext cx="64588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AB2C207F-D453-3051-6E59-624872E13BFA}"/>
                </a:ext>
              </a:extLst>
            </xdr:cNvPr>
            <xdr:cNvSpPr txBox="1"/>
          </xdr:nvSpPr>
          <xdr:spPr>
            <a:xfrm>
              <a:off x="14383501115" y="14771757"/>
              <a:ext cx="64588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513522</xdr:colOff>
      <xdr:row>71</xdr:row>
      <xdr:rowOff>204303</xdr:rowOff>
    </xdr:from>
    <xdr:to>
      <xdr:col>0</xdr:col>
      <xdr:colOff>734392</xdr:colOff>
      <xdr:row>73</xdr:row>
      <xdr:rowOff>49694</xdr:rowOff>
    </xdr:to>
    <xdr:sp macro="" textlink="">
      <xdr:nvSpPr>
        <xdr:cNvPr id="31" name="Rounded Rectangle 30">
          <a:extLst>
            <a:ext uri="{FF2B5EF4-FFF2-40B4-BE49-F238E27FC236}">
              <a16:creationId xmlns:a16="http://schemas.microsoft.com/office/drawing/2014/main" id="{015AA997-ACEF-6352-597E-D39059EB019C}"/>
            </a:ext>
          </a:extLst>
        </xdr:cNvPr>
        <xdr:cNvSpPr/>
      </xdr:nvSpPr>
      <xdr:spPr>
        <a:xfrm>
          <a:off x="14383705260" y="14936303"/>
          <a:ext cx="220870" cy="254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0</xdr:col>
      <xdr:colOff>657087</xdr:colOff>
      <xdr:row>125</xdr:row>
      <xdr:rowOff>104913</xdr:rowOff>
    </xdr:from>
    <xdr:to>
      <xdr:col>7</xdr:col>
      <xdr:colOff>176695</xdr:colOff>
      <xdr:row>125</xdr:row>
      <xdr:rowOff>110435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67D10F8A-69F8-BD96-C3D1-6D2E772BBF71}"/>
            </a:ext>
          </a:extLst>
        </xdr:cNvPr>
        <xdr:cNvCxnSpPr/>
      </xdr:nvCxnSpPr>
      <xdr:spPr>
        <a:xfrm>
          <a:off x="14378117261" y="25924565"/>
          <a:ext cx="5665304" cy="5522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425171</xdr:colOff>
      <xdr:row>125</xdr:row>
      <xdr:rowOff>80066</xdr:rowOff>
    </xdr:from>
    <xdr:to>
      <xdr:col>5</xdr:col>
      <xdr:colOff>427932</xdr:colOff>
      <xdr:row>126</xdr:row>
      <xdr:rowOff>88346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64610317-91A4-0C80-BA6C-DFA739DC9473}"/>
            </a:ext>
          </a:extLst>
        </xdr:cNvPr>
        <xdr:cNvSpPr/>
      </xdr:nvSpPr>
      <xdr:spPr>
        <a:xfrm rot="16200000">
          <a:off x="14379956003" y="25565652"/>
          <a:ext cx="212585" cy="880718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425171</xdr:colOff>
      <xdr:row>125</xdr:row>
      <xdr:rowOff>80067</xdr:rowOff>
    </xdr:from>
    <xdr:to>
      <xdr:col>4</xdr:col>
      <xdr:colOff>430696</xdr:colOff>
      <xdr:row>131</xdr:row>
      <xdr:rowOff>138044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A9564EED-04FF-2C8A-5B33-D6139EE1E3D3}"/>
            </a:ext>
          </a:extLst>
        </xdr:cNvPr>
        <xdr:cNvCxnSpPr>
          <a:stCxn id="42" idx="2"/>
        </xdr:cNvCxnSpPr>
      </xdr:nvCxnSpPr>
      <xdr:spPr>
        <a:xfrm flipH="1">
          <a:off x="14380497130" y="25899719"/>
          <a:ext cx="5525" cy="1283803"/>
        </a:xfrm>
        <a:prstGeom prst="straightConnector1">
          <a:avLst/>
        </a:prstGeom>
        <a:ln w="19050" cap="flat" cmpd="sng" algn="ctr">
          <a:solidFill>
            <a:schemeClr val="accent6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795127</xdr:colOff>
      <xdr:row>125</xdr:row>
      <xdr:rowOff>91110</xdr:rowOff>
    </xdr:from>
    <xdr:to>
      <xdr:col>4</xdr:col>
      <xdr:colOff>416888</xdr:colOff>
      <xdr:row>126</xdr:row>
      <xdr:rowOff>93868</xdr:rowOff>
    </xdr:to>
    <xdr:sp macro="" textlink="">
      <xdr:nvSpPr>
        <xdr:cNvPr id="45" name="Left Brace 44">
          <a:extLst>
            <a:ext uri="{FF2B5EF4-FFF2-40B4-BE49-F238E27FC236}">
              <a16:creationId xmlns:a16="http://schemas.microsoft.com/office/drawing/2014/main" id="{2C01D7EB-38FD-AC30-E9F0-F8F8FA79E8F8}"/>
            </a:ext>
          </a:extLst>
        </xdr:cNvPr>
        <xdr:cNvSpPr/>
      </xdr:nvSpPr>
      <xdr:spPr>
        <a:xfrm rot="16200000">
          <a:off x="14381535221" y="24886479"/>
          <a:ext cx="207063" cy="2255630"/>
        </a:xfrm>
        <a:prstGeom prst="leftBrace">
          <a:avLst/>
        </a:prstGeom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732118</xdr:colOff>
      <xdr:row>180</xdr:row>
      <xdr:rowOff>119529</xdr:rowOff>
    </xdr:from>
    <xdr:to>
      <xdr:col>5</xdr:col>
      <xdr:colOff>104589</xdr:colOff>
      <xdr:row>181</xdr:row>
      <xdr:rowOff>104588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D1C00BEA-F1DB-A903-9A1F-B9E44AD30F94}"/>
            </a:ext>
          </a:extLst>
        </xdr:cNvPr>
        <xdr:cNvCxnSpPr/>
      </xdr:nvCxnSpPr>
      <xdr:spPr>
        <a:xfrm>
          <a:off x="14316104882" y="36792647"/>
          <a:ext cx="246530" cy="1867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470648</xdr:colOff>
      <xdr:row>179</xdr:row>
      <xdr:rowOff>104588</xdr:rowOff>
    </xdr:from>
    <xdr:to>
      <xdr:col>4</xdr:col>
      <xdr:colOff>37354</xdr:colOff>
      <xdr:row>179</xdr:row>
      <xdr:rowOff>112059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19B4425D-70A0-82D7-C375-769319D992C9}"/>
            </a:ext>
          </a:extLst>
        </xdr:cNvPr>
        <xdr:cNvCxnSpPr/>
      </xdr:nvCxnSpPr>
      <xdr:spPr>
        <a:xfrm>
          <a:off x="14317046176" y="36576000"/>
          <a:ext cx="440765" cy="74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212</xdr:row>
      <xdr:rowOff>97205</xdr:rowOff>
    </xdr:from>
    <xdr:to>
      <xdr:col>6</xdr:col>
      <xdr:colOff>424808</xdr:colOff>
      <xdr:row>213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215</xdr:row>
      <xdr:rowOff>30976</xdr:rowOff>
    </xdr:from>
    <xdr:to>
      <xdr:col>6</xdr:col>
      <xdr:colOff>433658</xdr:colOff>
      <xdr:row>215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215</xdr:row>
      <xdr:rowOff>30976</xdr:rowOff>
    </xdr:from>
    <xdr:to>
      <xdr:col>5</xdr:col>
      <xdr:colOff>345157</xdr:colOff>
      <xdr:row>215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215</xdr:row>
      <xdr:rowOff>39826</xdr:rowOff>
    </xdr:from>
    <xdr:to>
      <xdr:col>4</xdr:col>
      <xdr:colOff>234530</xdr:colOff>
      <xdr:row>215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215</xdr:row>
      <xdr:rowOff>53101</xdr:rowOff>
    </xdr:from>
    <xdr:to>
      <xdr:col>3</xdr:col>
      <xdr:colOff>172578</xdr:colOff>
      <xdr:row>215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225</xdr:row>
      <xdr:rowOff>197343</xdr:rowOff>
    </xdr:from>
    <xdr:to>
      <xdr:col>4</xdr:col>
      <xdr:colOff>203709</xdr:colOff>
      <xdr:row>227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225</xdr:row>
      <xdr:rowOff>181428</xdr:rowOff>
    </xdr:from>
    <xdr:to>
      <xdr:col>4</xdr:col>
      <xdr:colOff>31829</xdr:colOff>
      <xdr:row>227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225</xdr:row>
      <xdr:rowOff>171879</xdr:rowOff>
    </xdr:from>
    <xdr:to>
      <xdr:col>3</xdr:col>
      <xdr:colOff>636591</xdr:colOff>
      <xdr:row>227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225</xdr:row>
      <xdr:rowOff>95489</xdr:rowOff>
    </xdr:from>
    <xdr:to>
      <xdr:col>7</xdr:col>
      <xdr:colOff>760726</xdr:colOff>
      <xdr:row>227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225</xdr:row>
      <xdr:rowOff>111404</xdr:rowOff>
    </xdr:from>
    <xdr:to>
      <xdr:col>7</xdr:col>
      <xdr:colOff>241904</xdr:colOff>
      <xdr:row>226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225</xdr:row>
      <xdr:rowOff>95489</xdr:rowOff>
    </xdr:from>
    <xdr:to>
      <xdr:col>7</xdr:col>
      <xdr:colOff>44561</xdr:colOff>
      <xdr:row>226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225</xdr:row>
      <xdr:rowOff>105038</xdr:rowOff>
    </xdr:from>
    <xdr:to>
      <xdr:col>6</xdr:col>
      <xdr:colOff>655689</xdr:colOff>
      <xdr:row>226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227</xdr:row>
      <xdr:rowOff>60476</xdr:rowOff>
    </xdr:from>
    <xdr:to>
      <xdr:col>7</xdr:col>
      <xdr:colOff>57293</xdr:colOff>
      <xdr:row>228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229</xdr:row>
      <xdr:rowOff>184612</xdr:rowOff>
    </xdr:from>
    <xdr:to>
      <xdr:col>7</xdr:col>
      <xdr:colOff>649323</xdr:colOff>
      <xdr:row>230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487950</xdr:colOff>
      <xdr:row>99</xdr:row>
      <xdr:rowOff>44114</xdr:rowOff>
    </xdr:from>
    <xdr:ext cx="1452931" cy="33861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p>
                          <m:sSup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sSup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1.02</m:t>
                            </m:r>
                          </m:e>
                          <m:sup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sup>
                        </m:sSup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4AA4C1AB-6B38-611E-60A2-949E14245917}"/>
                </a:ext>
              </a:extLst>
            </xdr:cNvPr>
            <xdr:cNvSpPr txBox="1"/>
          </xdr:nvSpPr>
          <xdr:spPr>
            <a:xfrm>
              <a:off x="13572835119" y="19949693"/>
              <a:ext cx="1452931" cy="33861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〖1.02〗^12/1−1=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822159</xdr:colOff>
      <xdr:row>101</xdr:row>
      <xdr:rowOff>151061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04C48A27-10FB-92A4-9B10-B78B2E56281A}"/>
                </a:ext>
              </a:extLst>
            </xdr:cNvPr>
            <xdr:cNvSpPr txBox="1"/>
          </xdr:nvSpPr>
          <xdr:spPr>
            <a:xfrm>
              <a:off x="13573931331" y="20457693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508001</xdr:colOff>
      <xdr:row>112</xdr:row>
      <xdr:rowOff>64167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DDEA3319-20F4-19BE-BDF2-8C546BD0A1F5}"/>
                </a:ext>
              </a:extLst>
            </xdr:cNvPr>
            <xdr:cNvSpPr txBox="1"/>
          </xdr:nvSpPr>
          <xdr:spPr>
            <a:xfrm>
              <a:off x="13574245489" y="22576588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338668</xdr:colOff>
      <xdr:row>115</xdr:row>
      <xdr:rowOff>136739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7AE5CEEE-27CD-7458-96CC-E24AC6EBDD95}"/>
                </a:ext>
              </a:extLst>
            </xdr:cNvPr>
            <xdr:cNvSpPr txBox="1"/>
          </xdr:nvSpPr>
          <xdr:spPr>
            <a:xfrm>
              <a:off x="13569201137" y="23831310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326573</xdr:colOff>
      <xdr:row>119</xdr:row>
      <xdr:rowOff>46023</xdr:rowOff>
    </xdr:from>
    <xdr:ext cx="1680195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3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989C9F9B-7924-25E6-7472-B6FD95984675}"/>
                </a:ext>
              </a:extLst>
            </xdr:cNvPr>
            <xdr:cNvSpPr txBox="1"/>
          </xdr:nvSpPr>
          <xdr:spPr>
            <a:xfrm>
              <a:off x="13569213232" y="24563071"/>
              <a:ext cx="1680195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12%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3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6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241907</xdr:colOff>
      <xdr:row>125</xdr:row>
      <xdr:rowOff>173024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C5730EA-C068-51D7-3244-0894BAC8E21A}"/>
                </a:ext>
              </a:extLst>
            </xdr:cNvPr>
            <xdr:cNvSpPr txBox="1"/>
          </xdr:nvSpPr>
          <xdr:spPr>
            <a:xfrm>
              <a:off x="13569297898" y="25923786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181431</xdr:colOff>
      <xdr:row>130</xdr:row>
      <xdr:rowOff>118595</xdr:rowOff>
    </xdr:from>
    <xdr:ext cx="1680195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4" name="TextBox 33">
              <a:extLst>
                <a:ext uri="{FF2B5EF4-FFF2-40B4-BE49-F238E27FC236}">
                  <a16:creationId xmlns:a16="http://schemas.microsoft.com/office/drawing/2014/main" id="{172BE98C-B52D-896B-C373-9D1E807703E4}"/>
                </a:ext>
              </a:extLst>
            </xdr:cNvPr>
            <xdr:cNvSpPr txBox="1"/>
          </xdr:nvSpPr>
          <xdr:spPr>
            <a:xfrm>
              <a:off x="13569358374" y="26897452"/>
              <a:ext cx="1680195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𝑟_𝑒=(1+(</a:t>
              </a:r>
              <a:r>
                <a:rPr lang="he-IL" sz="1100" b="0" i="0">
                  <a:latin typeface="Cambria Math" panose="02040503050406030204" pitchFamily="18" charset="0"/>
                </a:rPr>
                <a:t>6%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0</xdr:colOff>
      <xdr:row>144</xdr:row>
      <xdr:rowOff>0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5" name="TextBox 34">
              <a:extLst>
                <a:ext uri="{FF2B5EF4-FFF2-40B4-BE49-F238E27FC236}">
                  <a16:creationId xmlns:a16="http://schemas.microsoft.com/office/drawing/2014/main" id="{EA7D9C61-DBC8-174C-A15B-6F668C09A638}"/>
                </a:ext>
              </a:extLst>
            </xdr:cNvPr>
            <xdr:cNvSpPr txBox="1"/>
          </xdr:nvSpPr>
          <xdr:spPr>
            <a:xfrm>
              <a:off x="13569539805" y="29657524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0</xdr:col>
      <xdr:colOff>520095</xdr:colOff>
      <xdr:row>143</xdr:row>
      <xdr:rowOff>193523</xdr:rowOff>
    </xdr:from>
    <xdr:ext cx="2218433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3%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6" name="TextBox 35">
              <a:extLst>
                <a:ext uri="{FF2B5EF4-FFF2-40B4-BE49-F238E27FC236}">
                  <a16:creationId xmlns:a16="http://schemas.microsoft.com/office/drawing/2014/main" id="{B972F661-17FD-69B8-FD92-76B0FDBE61BA}"/>
                </a:ext>
              </a:extLst>
            </xdr:cNvPr>
            <xdr:cNvSpPr txBox="1"/>
          </xdr:nvSpPr>
          <xdr:spPr>
            <a:xfrm>
              <a:off x="13571795567" y="29645428"/>
              <a:ext cx="2218433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𝑚𝑜𝑛𝑡ℎ)=(1+(3%)/6)^1−1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13369</xdr:colOff>
      <xdr:row>170</xdr:row>
      <xdr:rowOff>151062</xdr:rowOff>
    </xdr:from>
    <xdr:ext cx="1994353" cy="43011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𝑀𝑜𝑛𝑡h𝑠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den>
                            </m:f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6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E0A0DFF4-1EEB-B483-93EA-62A58A51E3FD}"/>
                </a:ext>
              </a:extLst>
            </xdr:cNvPr>
            <xdr:cNvSpPr txBox="1"/>
          </xdr:nvSpPr>
          <xdr:spPr>
            <a:xfrm>
              <a:off x="13574425963" y="34294009"/>
              <a:ext cx="1994353" cy="43011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 𝑀𝑜𝑛𝑡ℎ𝑠)=(1+(12%)/2</a:t>
              </a:r>
              <a:r>
                <a:rPr lang="he-IL" sz="1100" b="0" i="0">
                  <a:latin typeface="Cambria Math" panose="02040503050406030204" pitchFamily="18" charset="0"/>
                </a:rPr>
                <a:t>)^(2/6)−1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2</xdr:col>
      <xdr:colOff>635000</xdr:colOff>
      <xdr:row>181</xdr:row>
      <xdr:rowOff>153736</xdr:rowOff>
    </xdr:from>
    <xdr:to>
      <xdr:col>3</xdr:col>
      <xdr:colOff>173790</xdr:colOff>
      <xdr:row>183</xdr:row>
      <xdr:rowOff>26737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F6F9BA2E-E5EF-B1FB-248A-21494019B90E}"/>
            </a:ext>
          </a:extLst>
        </xdr:cNvPr>
        <xdr:cNvCxnSpPr/>
      </xdr:nvCxnSpPr>
      <xdr:spPr>
        <a:xfrm>
          <a:off x="13577088737" y="36502473"/>
          <a:ext cx="367632" cy="27405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675106</xdr:colOff>
      <xdr:row>182</xdr:row>
      <xdr:rowOff>13369</xdr:rowOff>
    </xdr:from>
    <xdr:to>
      <xdr:col>4</xdr:col>
      <xdr:colOff>173790</xdr:colOff>
      <xdr:row>183</xdr:row>
      <xdr:rowOff>60158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B25E1F20-5374-46F1-2E06-37DB7AA1DF76}"/>
            </a:ext>
          </a:extLst>
        </xdr:cNvPr>
        <xdr:cNvCxnSpPr/>
      </xdr:nvCxnSpPr>
      <xdr:spPr>
        <a:xfrm flipH="1">
          <a:off x="13576259895" y="36562632"/>
          <a:ext cx="327526" cy="2473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409</xdr:row>
      <xdr:rowOff>126398</xdr:rowOff>
    </xdr:from>
    <xdr:to>
      <xdr:col>3</xdr:col>
      <xdr:colOff>722275</xdr:colOff>
      <xdr:row>411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412</xdr:row>
      <xdr:rowOff>6020</xdr:rowOff>
    </xdr:from>
    <xdr:to>
      <xdr:col>6</xdr:col>
      <xdr:colOff>192607</xdr:colOff>
      <xdr:row>413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502</xdr:row>
      <xdr:rowOff>91807</xdr:rowOff>
    </xdr:from>
    <xdr:to>
      <xdr:col>6</xdr:col>
      <xdr:colOff>10201</xdr:colOff>
      <xdr:row>502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481</xdr:row>
      <xdr:rowOff>186954</xdr:rowOff>
    </xdr:from>
    <xdr:to>
      <xdr:col>9</xdr:col>
      <xdr:colOff>39518</xdr:colOff>
      <xdr:row>486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522</xdr:row>
      <xdr:rowOff>61851</xdr:rowOff>
    </xdr:from>
    <xdr:to>
      <xdr:col>6</xdr:col>
      <xdr:colOff>655616</xdr:colOff>
      <xdr:row>522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640</xdr:row>
      <xdr:rowOff>86895</xdr:rowOff>
    </xdr:from>
    <xdr:to>
      <xdr:col>7</xdr:col>
      <xdr:colOff>267368</xdr:colOff>
      <xdr:row>640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55</xdr:row>
      <xdr:rowOff>175054</xdr:rowOff>
    </xdr:from>
    <xdr:to>
      <xdr:col>7</xdr:col>
      <xdr:colOff>120134</xdr:colOff>
      <xdr:row>56</xdr:row>
      <xdr:rowOff>164757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D954ED1-3E62-0D46-B007-234AE6ED6B94}"/>
            </a:ext>
          </a:extLst>
        </xdr:cNvPr>
        <xdr:cNvCxnSpPr/>
      </xdr:nvCxnSpPr>
      <xdr:spPr>
        <a:xfrm flipH="1">
          <a:off x="13519093366" y="42288254"/>
          <a:ext cx="207661" cy="19290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55</xdr:row>
      <xdr:rowOff>185351</xdr:rowOff>
    </xdr:from>
    <xdr:to>
      <xdr:col>6</xdr:col>
      <xdr:colOff>490838</xdr:colOff>
      <xdr:row>57</xdr:row>
      <xdr:rowOff>41189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80DCE90A-8F42-6540-B7D4-91611EE77F35}"/>
            </a:ext>
          </a:extLst>
        </xdr:cNvPr>
        <xdr:cNvCxnSpPr/>
      </xdr:nvCxnSpPr>
      <xdr:spPr>
        <a:xfrm flipH="1">
          <a:off x="13519548162" y="42298551"/>
          <a:ext cx="27460" cy="2622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55</xdr:row>
      <xdr:rowOff>175053</xdr:rowOff>
    </xdr:from>
    <xdr:to>
      <xdr:col>6</xdr:col>
      <xdr:colOff>312351</xdr:colOff>
      <xdr:row>57</xdr:row>
      <xdr:rowOff>20594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431F49A-B772-F641-9DC7-A3513393D1A3}"/>
            </a:ext>
          </a:extLst>
        </xdr:cNvPr>
        <xdr:cNvCxnSpPr/>
      </xdr:nvCxnSpPr>
      <xdr:spPr>
        <a:xfrm>
          <a:off x="13519726649" y="42288253"/>
          <a:ext cx="485689" cy="25194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134956</xdr:colOff>
      <xdr:row>70</xdr:row>
      <xdr:rowOff>15280</xdr:rowOff>
    </xdr:from>
    <xdr:to>
      <xdr:col>4</xdr:col>
      <xdr:colOff>376861</xdr:colOff>
      <xdr:row>71</xdr:row>
      <xdr:rowOff>18463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BA4431A9-96F0-5B41-BAD6-F900576F36C5}"/>
            </a:ext>
          </a:extLst>
        </xdr:cNvPr>
        <xdr:cNvCxnSpPr/>
      </xdr:nvCxnSpPr>
      <xdr:spPr>
        <a:xfrm flipH="1">
          <a:off x="13576056824" y="14012017"/>
          <a:ext cx="241905" cy="203709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3</xdr:col>
      <xdr:colOff>828842</xdr:colOff>
      <xdr:row>67</xdr:row>
      <xdr:rowOff>46789</xdr:rowOff>
    </xdr:from>
    <xdr:ext cx="1680195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1041226C-0A2D-8F43-9971-EA57F846ECDE}"/>
                </a:ext>
              </a:extLst>
            </xdr:cNvPr>
            <xdr:cNvSpPr txBox="1"/>
          </xdr:nvSpPr>
          <xdr:spPr>
            <a:xfrm>
              <a:off x="13574753490" y="13441947"/>
              <a:ext cx="1680195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434473</xdr:colOff>
      <xdr:row>67</xdr:row>
      <xdr:rowOff>100262</xdr:rowOff>
    </xdr:from>
    <xdr:ext cx="2245895" cy="32226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19.5618%=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𝑥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542C4B61-8973-9849-0069-8FBD32EA6061}"/>
                </a:ext>
              </a:extLst>
            </xdr:cNvPr>
            <xdr:cNvSpPr txBox="1"/>
          </xdr:nvSpPr>
          <xdr:spPr>
            <a:xfrm>
              <a:off x="13572095632" y="13495420"/>
              <a:ext cx="2245895" cy="32226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19.5618%=(1+𝑥/12)^12−1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84</xdr:row>
      <xdr:rowOff>27406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DC2BF82-C99A-2474-D213-733679052530}"/>
                </a:ext>
              </a:extLst>
            </xdr:cNvPr>
            <xdr:cNvSpPr txBox="1"/>
          </xdr:nvSpPr>
          <xdr:spPr>
            <a:xfrm>
              <a:off x="13574131856" y="16858248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688476</xdr:colOff>
      <xdr:row>85</xdr:row>
      <xdr:rowOff>181143</xdr:rowOff>
    </xdr:from>
    <xdr:ext cx="2442195" cy="26071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he-IL" sz="1100" b="0" i="1">
                        <a:latin typeface="Cambria Math" panose="02040503050406030204" pitchFamily="18" charset="0"/>
                      </a:rPr>
                      <m:t>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𝑚𝑜𝑛𝑡h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19.5618%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26C2F338-F992-1B3F-9335-A7D76C1F78C1}"/>
                </a:ext>
              </a:extLst>
            </xdr:cNvPr>
            <xdr:cNvSpPr txBox="1"/>
          </xdr:nvSpPr>
          <xdr:spPr>
            <a:xfrm>
              <a:off x="13574131856" y="17212511"/>
              <a:ext cx="2442195" cy="26071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𝑚𝑜𝑛𝑡ℎ)=(1+</a:t>
              </a:r>
              <a:r>
                <a:rPr lang="he-IL" sz="1100" b="0" i="0">
                  <a:latin typeface="Cambria Math" panose="02040503050406030204" pitchFamily="18" charset="0"/>
                </a:rPr>
                <a:t>19.5618%</a:t>
              </a:r>
              <a:r>
                <a:rPr lang="en-US" sz="1100" b="0" i="0">
                  <a:latin typeface="Cambria Math" panose="02040503050406030204" pitchFamily="18" charset="0"/>
                </a:rPr>
                <a:t>)^(1/12)−1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681791</xdr:colOff>
      <xdr:row>88</xdr:row>
      <xdr:rowOff>47459</xdr:rowOff>
    </xdr:from>
    <xdr:ext cx="244219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=1.5%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1511D02E-A710-9C3D-9BC2-494C3126FD5D}"/>
                </a:ext>
              </a:extLst>
            </xdr:cNvPr>
            <xdr:cNvSpPr txBox="1"/>
          </xdr:nvSpPr>
          <xdr:spPr>
            <a:xfrm>
              <a:off x="13574138541" y="17680406"/>
              <a:ext cx="244219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𝑚𝑜𝑛𝑡ℎ)=1.5%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762000</xdr:colOff>
      <xdr:row>100</xdr:row>
      <xdr:rowOff>117186</xdr:rowOff>
    </xdr:from>
    <xdr:ext cx="2582259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6%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BD9D40E3-AF06-3A74-5722-FD799329D845}"/>
                </a:ext>
              </a:extLst>
            </xdr:cNvPr>
            <xdr:cNvSpPr txBox="1"/>
          </xdr:nvSpPr>
          <xdr:spPr>
            <a:xfrm>
              <a:off x="13518345741" y="20275550"/>
              <a:ext cx="2582259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𝑟_𝑒=(1+𝑅/𝑛)^𝑚−1=(1+(6%)/12)^6−1=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675409</xdr:colOff>
      <xdr:row>103</xdr:row>
      <xdr:rowOff>30595</xdr:rowOff>
    </xdr:from>
    <xdr:ext cx="263421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1+3.5%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98F337CF-DF6D-0DEB-FD5E-A4AC782C1930}"/>
                </a:ext>
              </a:extLst>
            </xdr:cNvPr>
            <xdr:cNvSpPr txBox="1"/>
          </xdr:nvSpPr>
          <xdr:spPr>
            <a:xfrm>
              <a:off x="13518380378" y="20795095"/>
              <a:ext cx="263421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𝑟_𝑒=(1+𝑟)^𝑚−1=(1+3.5%)^2−1=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317500</xdr:colOff>
      <xdr:row>145</xdr:row>
      <xdr:rowOff>47625</xdr:rowOff>
    </xdr:from>
    <xdr:ext cx="2476618" cy="35432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=100,000∗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9%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=109,308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D8FBC93-40CF-A47B-9744-098D5C9F93EB}"/>
                </a:ext>
              </a:extLst>
            </xdr:cNvPr>
            <xdr:cNvSpPr txBox="1"/>
          </xdr:nvSpPr>
          <xdr:spPr>
            <a:xfrm>
              <a:off x="13519721382" y="29283025"/>
              <a:ext cx="2476618" cy="35432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𝐹𝑉_1=100,000∗(1+(9%)/4)^4=109,308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514685</xdr:colOff>
      <xdr:row>185</xdr:row>
      <xdr:rowOff>73527</xdr:rowOff>
    </xdr:from>
    <xdr:to>
      <xdr:col>6</xdr:col>
      <xdr:colOff>768684</xdr:colOff>
      <xdr:row>185</xdr:row>
      <xdr:rowOff>80211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502C5D78-B555-A3E6-873B-FF70DE2C0830}"/>
            </a:ext>
          </a:extLst>
        </xdr:cNvPr>
        <xdr:cNvCxnSpPr/>
      </xdr:nvCxnSpPr>
      <xdr:spPr>
        <a:xfrm>
          <a:off x="13574007316" y="37264474"/>
          <a:ext cx="5227052" cy="6684"/>
        </a:xfrm>
        <a:prstGeom prst="straightConnector1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207212</xdr:colOff>
      <xdr:row>191</xdr:row>
      <xdr:rowOff>187827</xdr:rowOff>
    </xdr:from>
    <xdr:ext cx="2809826" cy="33938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1.5 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844,565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675,000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C5081B72-98BC-CFA4-2C89-C24AA4DFD550}"/>
                </a:ext>
              </a:extLst>
            </xdr:cNvPr>
            <xdr:cNvSpPr txBox="1"/>
          </xdr:nvSpPr>
          <xdr:spPr>
            <a:xfrm>
              <a:off x="13574245489" y="38581932"/>
              <a:ext cx="2809826" cy="33938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(1.5 𝑦𝑒𝑎𝑟𝑠)=844,565/675,000−1=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260686</xdr:colOff>
      <xdr:row>198</xdr:row>
      <xdr:rowOff>114301</xdr:rowOff>
    </xdr:from>
    <xdr:ext cx="2809826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8A282DD6-CB6F-CEC7-0D61-A79CD2E01EDD}"/>
                </a:ext>
              </a:extLst>
            </xdr:cNvPr>
            <xdr:cNvSpPr txBox="1"/>
          </xdr:nvSpPr>
          <xdr:spPr>
            <a:xfrm>
              <a:off x="13574192015" y="39912090"/>
              <a:ext cx="2809826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227265</xdr:colOff>
      <xdr:row>199</xdr:row>
      <xdr:rowOff>161091</xdr:rowOff>
    </xdr:from>
    <xdr:ext cx="2809826" cy="25263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1+25.121%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1.5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0B57570C-4567-2A4D-D77F-037A8BF3F5AD}"/>
                </a:ext>
              </a:extLst>
            </xdr:cNvPr>
            <xdr:cNvSpPr txBox="1"/>
          </xdr:nvSpPr>
          <xdr:spPr>
            <a:xfrm>
              <a:off x="13574225436" y="40159407"/>
              <a:ext cx="2809826" cy="25263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(𝑎𝑛𝑛𝑢𝑎𝑙)=(1+25.121%)^(</a:t>
              </a:r>
              <a:r>
                <a:rPr lang="he-IL" sz="1100" b="0" i="0">
                  <a:latin typeface="Cambria Math" panose="02040503050406030204" pitchFamily="18" charset="0"/>
                </a:rPr>
                <a:t>1/1.5</a:t>
              </a:r>
              <a:r>
                <a:rPr lang="en-US" sz="1100" b="0" i="0">
                  <a:latin typeface="Cambria Math" panose="02040503050406030204" pitchFamily="18" charset="0"/>
                </a:rPr>
                <a:t>)−1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275167</xdr:colOff>
      <xdr:row>214</xdr:row>
      <xdr:rowOff>84667</xdr:rowOff>
    </xdr:from>
    <xdr:to>
      <xdr:col>7</xdr:col>
      <xdr:colOff>98778</xdr:colOff>
      <xdr:row>214</xdr:row>
      <xdr:rowOff>105833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CE462E58-C482-514F-C897-57F2F621C211}"/>
            </a:ext>
          </a:extLst>
        </xdr:cNvPr>
        <xdr:cNvCxnSpPr/>
      </xdr:nvCxnSpPr>
      <xdr:spPr>
        <a:xfrm>
          <a:off x="13519114722" y="43899667"/>
          <a:ext cx="4776611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714375</xdr:colOff>
      <xdr:row>234</xdr:row>
      <xdr:rowOff>185737</xdr:rowOff>
    </xdr:from>
    <xdr:ext cx="1817012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8" name="TextBox 27">
              <a:extLst>
                <a:ext uri="{FF2B5EF4-FFF2-40B4-BE49-F238E27FC236}">
                  <a16:creationId xmlns:a16="http://schemas.microsoft.com/office/drawing/2014/main" id="{B4932B25-0462-C0B6-F5D4-0F434E50D31E}"/>
                </a:ext>
              </a:extLst>
            </xdr:cNvPr>
            <xdr:cNvSpPr txBox="1"/>
          </xdr:nvSpPr>
          <xdr:spPr>
            <a:xfrm>
              <a:off x="13519158613" y="45318362"/>
              <a:ext cx="18170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685800</xdr:colOff>
      <xdr:row>224</xdr:row>
      <xdr:rowOff>200025</xdr:rowOff>
    </xdr:from>
    <xdr:ext cx="3321168" cy="350160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𝑡</m:t>
                            </m:r>
                          </m:sub>
                        </m:sSub>
                      </m:num>
                      <m:den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0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127,551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96,000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−1=32.8%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9" name="TextBox 28">
              <a:extLst>
                <a:ext uri="{FF2B5EF4-FFF2-40B4-BE49-F238E27FC236}">
                  <a16:creationId xmlns:a16="http://schemas.microsoft.com/office/drawing/2014/main" id="{C7685CBC-B444-BE75-3CF8-90B64136B64E}"/>
                </a:ext>
              </a:extLst>
            </xdr:cNvPr>
            <xdr:cNvSpPr txBox="1"/>
          </xdr:nvSpPr>
          <xdr:spPr>
            <a:xfrm>
              <a:off x="13520159532" y="45742225"/>
              <a:ext cx="3321168" cy="350160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(2𝑦𝑒𝑎𝑟𝑠)=𝑃_𝑡/𝑃_0 −1=127,551/96,000−1=32.8%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704850</xdr:colOff>
      <xdr:row>228</xdr:row>
      <xdr:rowOff>41275</xdr:rowOff>
    </xdr:from>
    <xdr:ext cx="332116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1+32.8%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−1=15.238823%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827A73D4-D211-AAE2-CD62-29D025960AA4}"/>
                </a:ext>
              </a:extLst>
            </xdr:cNvPr>
            <xdr:cNvSpPr txBox="1"/>
          </xdr:nvSpPr>
          <xdr:spPr>
            <a:xfrm>
              <a:off x="13520140482" y="46396275"/>
              <a:ext cx="332116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(𝑦𝑒𝑎𝑟𝑠)=</a:t>
              </a:r>
              <a:r>
                <a:rPr lang="he-IL" sz="1100" b="0" i="0">
                  <a:latin typeface="Cambria Math" panose="02040503050406030204" pitchFamily="18" charset="0"/>
                </a:rPr>
                <a:t>(1+32.8%)^(1/2)−1=15.238823%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542925</xdr:colOff>
      <xdr:row>232</xdr:row>
      <xdr:rowOff>39687</xdr:rowOff>
    </xdr:from>
    <xdr:ext cx="181701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1" name="TextBox 30">
              <a:extLst>
                <a:ext uri="{FF2B5EF4-FFF2-40B4-BE49-F238E27FC236}">
                  <a16:creationId xmlns:a16="http://schemas.microsoft.com/office/drawing/2014/main" id="{72DED9DC-7CEC-6875-0CE5-19AAF71B0ED0}"/>
                </a:ext>
              </a:extLst>
            </xdr:cNvPr>
            <xdr:cNvSpPr txBox="1"/>
          </xdr:nvSpPr>
          <xdr:spPr>
            <a:xfrm>
              <a:off x="13519330063" y="47207487"/>
              <a:ext cx="181701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781051</xdr:colOff>
      <xdr:row>237</xdr:row>
      <xdr:rowOff>160337</xdr:rowOff>
    </xdr:from>
    <xdr:ext cx="2340887" cy="35503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2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𝑦𝑒𝑎𝑟𝑠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1650AD82-49DA-4147-5A2A-805C71C0721F}"/>
                </a:ext>
              </a:extLst>
            </xdr:cNvPr>
            <xdr:cNvSpPr txBox="1"/>
          </xdr:nvSpPr>
          <xdr:spPr>
            <a:xfrm>
              <a:off x="13519393562" y="48344137"/>
              <a:ext cx="2340887" cy="35503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(2𝑦𝑒𝑎𝑟𝑠)=(1+(</a:t>
              </a:r>
              <a:r>
                <a:rPr lang="he-IL" sz="1100" b="0" i="0">
                  <a:latin typeface="Cambria Math" panose="02040503050406030204" pitchFamily="18" charset="0"/>
                </a:rPr>
                <a:t>8%</a:t>
              </a:r>
              <a:r>
                <a:rPr lang="en-US" sz="1100" b="0" i="0">
                  <a:latin typeface="Cambria Math" panose="02040503050406030204" pitchFamily="18" charset="0"/>
                </a:rPr>
                <a:t>)/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2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666751</xdr:colOff>
      <xdr:row>240</xdr:row>
      <xdr:rowOff>33337</xdr:rowOff>
    </xdr:from>
    <xdr:ext cx="3591837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𝑎𝑛𝑛𝑢𝑎𝑙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1+16.64%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=8%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3" name="TextBox 32">
              <a:extLst>
                <a:ext uri="{FF2B5EF4-FFF2-40B4-BE49-F238E27FC236}">
                  <a16:creationId xmlns:a16="http://schemas.microsoft.com/office/drawing/2014/main" id="{F641A029-36F7-F5A1-7AD7-A1BDC38CA2AC}"/>
                </a:ext>
              </a:extLst>
            </xdr:cNvPr>
            <xdr:cNvSpPr txBox="1"/>
          </xdr:nvSpPr>
          <xdr:spPr>
            <a:xfrm>
              <a:off x="13519082412" y="48826737"/>
              <a:ext cx="3591837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</a:t>
              </a:r>
              <a:r>
                <a:rPr lang="he-IL" sz="1100" b="0" i="0">
                  <a:latin typeface="Cambria Math" panose="02040503050406030204" pitchFamily="18" charset="0"/>
                </a:rPr>
                <a:t> (</a:t>
              </a:r>
              <a:r>
                <a:rPr lang="en-US" sz="1100" b="0" i="0">
                  <a:latin typeface="Cambria Math" panose="02040503050406030204" pitchFamily="18" charset="0"/>
                </a:rPr>
                <a:t>𝑎𝑛𝑛𝑢𝑎𝑙)=(1+16.64%)^(1/2)−1=8%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259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260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8</xdr:col>
      <xdr:colOff>123789</xdr:colOff>
      <xdr:row>179</xdr:row>
      <xdr:rowOff>41566</xdr:rowOff>
    </xdr:from>
    <xdr:to>
      <xdr:col>13</xdr:col>
      <xdr:colOff>427067</xdr:colOff>
      <xdr:row>189</xdr:row>
      <xdr:rowOff>86949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74983933" y="36296331"/>
          <a:ext cx="4449454" cy="2062442"/>
        </a:xfrm>
        <a:prstGeom prst="rect">
          <a:avLst/>
        </a:prstGeom>
      </xdr:spPr>
    </xdr:pic>
    <xdr:clientData/>
  </xdr:twoCellAnchor>
  <xdr:twoCellAnchor>
    <xdr:from>
      <xdr:col>5</xdr:col>
      <xdr:colOff>13368</xdr:colOff>
      <xdr:row>263</xdr:row>
      <xdr:rowOff>200526</xdr:rowOff>
    </xdr:from>
    <xdr:to>
      <xdr:col>5</xdr:col>
      <xdr:colOff>222807</xdr:colOff>
      <xdr:row>264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266</xdr:row>
      <xdr:rowOff>173790</xdr:rowOff>
    </xdr:from>
    <xdr:to>
      <xdr:col>5</xdr:col>
      <xdr:colOff>71298</xdr:colOff>
      <xdr:row>279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263</xdr:row>
      <xdr:rowOff>200526</xdr:rowOff>
    </xdr:from>
    <xdr:to>
      <xdr:col>4</xdr:col>
      <xdr:colOff>191614</xdr:colOff>
      <xdr:row>264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262</xdr:row>
      <xdr:rowOff>17825</xdr:rowOff>
    </xdr:from>
    <xdr:to>
      <xdr:col>2</xdr:col>
      <xdr:colOff>797649</xdr:colOff>
      <xdr:row>267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261</xdr:row>
      <xdr:rowOff>187158</xdr:rowOff>
    </xdr:from>
    <xdr:to>
      <xdr:col>4</xdr:col>
      <xdr:colOff>98035</xdr:colOff>
      <xdr:row>267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263</xdr:row>
      <xdr:rowOff>4455</xdr:rowOff>
    </xdr:from>
    <xdr:to>
      <xdr:col>3</xdr:col>
      <xdr:colOff>245088</xdr:colOff>
      <xdr:row>263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oneCellAnchor>
    <xdr:from>
      <xdr:col>2</xdr:col>
      <xdr:colOff>843139</xdr:colOff>
      <xdr:row>436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438</xdr:row>
      <xdr:rowOff>112889</xdr:rowOff>
    </xdr:from>
    <xdr:to>
      <xdr:col>8</xdr:col>
      <xdr:colOff>3529</xdr:colOff>
      <xdr:row>439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439</xdr:row>
      <xdr:rowOff>21167</xdr:rowOff>
    </xdr:from>
    <xdr:to>
      <xdr:col>6</xdr:col>
      <xdr:colOff>560917</xdr:colOff>
      <xdr:row>443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439</xdr:row>
      <xdr:rowOff>74083</xdr:rowOff>
    </xdr:from>
    <xdr:to>
      <xdr:col>5</xdr:col>
      <xdr:colOff>158751</xdr:colOff>
      <xdr:row>443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438</xdr:row>
      <xdr:rowOff>26458</xdr:rowOff>
    </xdr:from>
    <xdr:to>
      <xdr:col>5</xdr:col>
      <xdr:colOff>213429</xdr:colOff>
      <xdr:row>438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107950</xdr:colOff>
      <xdr:row>60</xdr:row>
      <xdr:rowOff>171450</xdr:rowOff>
    </xdr:from>
    <xdr:to>
      <xdr:col>7</xdr:col>
      <xdr:colOff>577850</xdr:colOff>
      <xdr:row>66</xdr:row>
      <xdr:rowOff>88900</xdr:rowOff>
    </xdr:to>
    <xdr:sp macro="" textlink="">
      <xdr:nvSpPr>
        <xdr:cNvPr id="8" name="Rounded Rectangle 7">
          <a:extLst>
            <a:ext uri="{FF2B5EF4-FFF2-40B4-BE49-F238E27FC236}">
              <a16:creationId xmlns:a16="http://schemas.microsoft.com/office/drawing/2014/main" id="{9FCBAE30-78C1-BD96-07EA-F9D8176E668C}"/>
            </a:ext>
          </a:extLst>
        </xdr:cNvPr>
        <xdr:cNvSpPr/>
      </xdr:nvSpPr>
      <xdr:spPr>
        <a:xfrm>
          <a:off x="13518661050" y="12363450"/>
          <a:ext cx="2235200" cy="11366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תזכורת: סכום הלוואה 4,000</a:t>
          </a:r>
        </a:p>
        <a:p>
          <a:pPr algn="r" rtl="1"/>
          <a:r>
            <a:rPr lang="he-IL" sz="1100"/>
            <a:t>תשלומים כל: חודש</a:t>
          </a:r>
        </a:p>
        <a:p>
          <a:pPr algn="r" rtl="1"/>
          <a:r>
            <a:rPr lang="he-IL" sz="1100"/>
            <a:t>ריבית חודשית: 0.4%</a:t>
          </a:r>
        </a:p>
        <a:p>
          <a:pPr algn="r" rtl="1"/>
          <a:r>
            <a:rPr lang="he-IL" sz="1100"/>
            <a:t>מספר התשלומים: 24</a:t>
          </a:r>
        </a:p>
        <a:p>
          <a:pPr algn="r" rtl="1"/>
          <a:r>
            <a:rPr lang="he-IL" sz="1100" u="sng"/>
            <a:t>סוג</a:t>
          </a:r>
          <a:r>
            <a:rPr lang="he-IL" sz="1100" u="sng" baseline="0"/>
            <a:t> הלוח: שפיצר (תשלומים שווים)</a:t>
          </a:r>
          <a:endParaRPr lang="en-US" sz="1100" u="sng"/>
        </a:p>
      </xdr:txBody>
    </xdr:sp>
    <xdr:clientData/>
  </xdr:twoCellAnchor>
  <xdr:twoCellAnchor editAs="oneCell">
    <xdr:from>
      <xdr:col>8</xdr:col>
      <xdr:colOff>390338</xdr:colOff>
      <xdr:row>128</xdr:row>
      <xdr:rowOff>119529</xdr:rowOff>
    </xdr:from>
    <xdr:to>
      <xdr:col>9</xdr:col>
      <xdr:colOff>630518</xdr:colOff>
      <xdr:row>134</xdr:row>
      <xdr:rowOff>131482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B71F763-CE37-6652-1567-F106D60A5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8097423" y="25997647"/>
          <a:ext cx="1069415" cy="1222188"/>
        </a:xfrm>
        <a:prstGeom prst="rect">
          <a:avLst/>
        </a:prstGeom>
      </xdr:spPr>
    </xdr:pic>
    <xdr:clientData/>
  </xdr:twoCellAnchor>
  <xdr:twoCellAnchor>
    <xdr:from>
      <xdr:col>6</xdr:col>
      <xdr:colOff>478117</xdr:colOff>
      <xdr:row>128</xdr:row>
      <xdr:rowOff>179294</xdr:rowOff>
    </xdr:from>
    <xdr:to>
      <xdr:col>8</xdr:col>
      <xdr:colOff>313764</xdr:colOff>
      <xdr:row>135</xdr:row>
      <xdr:rowOff>194235</xdr:rowOff>
    </xdr:to>
    <xdr:sp macro="" textlink="">
      <xdr:nvSpPr>
        <xdr:cNvPr id="29" name="Rectangular Callout 28">
          <a:extLst>
            <a:ext uri="{FF2B5EF4-FFF2-40B4-BE49-F238E27FC236}">
              <a16:creationId xmlns:a16="http://schemas.microsoft.com/office/drawing/2014/main" id="{8D3D67D4-330D-024D-68ED-47208846A352}"/>
            </a:ext>
          </a:extLst>
        </xdr:cNvPr>
        <xdr:cNvSpPr/>
      </xdr:nvSpPr>
      <xdr:spPr>
        <a:xfrm>
          <a:off x="13579243412" y="26057412"/>
          <a:ext cx="1598706" cy="1426882"/>
        </a:xfrm>
        <a:prstGeom prst="wedgeRectCallout">
          <a:avLst>
            <a:gd name="adj1" fmla="val -62889"/>
            <a:gd name="adj2" fmla="val -41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ההבדל: </a:t>
          </a:r>
          <a:r>
            <a:rPr lang="en-US" sz="1100"/>
            <a:t>ppmt</a:t>
          </a:r>
          <a:r>
            <a:rPr lang="he-IL" sz="1100"/>
            <a:t> מייצג את החזר הקרן - הסכום שבו תקטן ההלוואה מתקופה לתקופה.</a:t>
          </a:r>
        </a:p>
        <a:p>
          <a:pPr algn="r" rtl="1"/>
          <a:r>
            <a:rPr lang="he-IL" sz="1100"/>
            <a:t>ה-</a:t>
          </a:r>
          <a:r>
            <a:rPr lang="en-US" sz="1100"/>
            <a:t>ipmt</a:t>
          </a:r>
          <a:r>
            <a:rPr lang="he-IL" sz="1100" baseline="0"/>
            <a:t> מייצג לעומת זאת את תשלום הריבית המייצג את עלות המימון של הלווה / הרווח של הבנק</a:t>
          </a:r>
          <a:endParaRPr lang="en-US" sz="1100"/>
        </a:p>
      </xdr:txBody>
    </xdr:sp>
    <xdr:clientData/>
  </xdr:twoCellAnchor>
  <xdr:twoCellAnchor>
    <xdr:from>
      <xdr:col>6</xdr:col>
      <xdr:colOff>690912</xdr:colOff>
      <xdr:row>188</xdr:row>
      <xdr:rowOff>15975</xdr:rowOff>
    </xdr:from>
    <xdr:to>
      <xdr:col>6</xdr:col>
      <xdr:colOff>842673</xdr:colOff>
      <xdr:row>188</xdr:row>
      <xdr:rowOff>187705</xdr:rowOff>
    </xdr:to>
    <xdr:sp macro="" textlink="">
      <xdr:nvSpPr>
        <xdr:cNvPr id="30" name="Oval 29">
          <a:extLst>
            <a:ext uri="{FF2B5EF4-FFF2-40B4-BE49-F238E27FC236}">
              <a16:creationId xmlns:a16="http://schemas.microsoft.com/office/drawing/2014/main" id="{CF06D73A-E8CA-BE41-8450-341B8A8E72CC}"/>
            </a:ext>
          </a:extLst>
        </xdr:cNvPr>
        <xdr:cNvSpPr/>
      </xdr:nvSpPr>
      <xdr:spPr>
        <a:xfrm>
          <a:off x="13580477562" y="41918504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188</xdr:row>
      <xdr:rowOff>23962</xdr:rowOff>
    </xdr:from>
    <xdr:to>
      <xdr:col>3</xdr:col>
      <xdr:colOff>810723</xdr:colOff>
      <xdr:row>188</xdr:row>
      <xdr:rowOff>195692</xdr:rowOff>
    </xdr:to>
    <xdr:sp macro="" textlink="">
      <xdr:nvSpPr>
        <xdr:cNvPr id="31" name="Oval 30">
          <a:extLst>
            <a:ext uri="{FF2B5EF4-FFF2-40B4-BE49-F238E27FC236}">
              <a16:creationId xmlns:a16="http://schemas.microsoft.com/office/drawing/2014/main" id="{18B1B679-7626-9842-B0BB-EAD51D1DAA53}"/>
            </a:ext>
          </a:extLst>
        </xdr:cNvPr>
        <xdr:cNvSpPr/>
      </xdr:nvSpPr>
      <xdr:spPr>
        <a:xfrm>
          <a:off x="13583079394" y="41926491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188</xdr:row>
      <xdr:rowOff>23962</xdr:rowOff>
    </xdr:from>
    <xdr:to>
      <xdr:col>5</xdr:col>
      <xdr:colOff>15974</xdr:colOff>
      <xdr:row>188</xdr:row>
      <xdr:rowOff>195692</xdr:rowOff>
    </xdr:to>
    <xdr:sp macro="" textlink="">
      <xdr:nvSpPr>
        <xdr:cNvPr id="32" name="Oval 31">
          <a:extLst>
            <a:ext uri="{FF2B5EF4-FFF2-40B4-BE49-F238E27FC236}">
              <a16:creationId xmlns:a16="http://schemas.microsoft.com/office/drawing/2014/main" id="{D81614E6-1910-CE49-9F31-8D6F83148D18}"/>
            </a:ext>
          </a:extLst>
        </xdr:cNvPr>
        <xdr:cNvSpPr/>
      </xdr:nvSpPr>
      <xdr:spPr>
        <a:xfrm>
          <a:off x="13582155908" y="41926491"/>
          <a:ext cx="154298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188</xdr:row>
      <xdr:rowOff>19967</xdr:rowOff>
    </xdr:from>
    <xdr:to>
      <xdr:col>6</xdr:col>
      <xdr:colOff>47924</xdr:colOff>
      <xdr:row>188</xdr:row>
      <xdr:rowOff>191697</xdr:rowOff>
    </xdr:to>
    <xdr:sp macro="" textlink="">
      <xdr:nvSpPr>
        <xdr:cNvPr id="33" name="Oval 32">
          <a:extLst>
            <a:ext uri="{FF2B5EF4-FFF2-40B4-BE49-F238E27FC236}">
              <a16:creationId xmlns:a16="http://schemas.microsoft.com/office/drawing/2014/main" id="{B17A5149-0F47-B14A-96A6-740E70B8642C}"/>
            </a:ext>
          </a:extLst>
        </xdr:cNvPr>
        <xdr:cNvSpPr/>
      </xdr:nvSpPr>
      <xdr:spPr>
        <a:xfrm>
          <a:off x="13581272311" y="41922496"/>
          <a:ext cx="176710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3</xdr:col>
      <xdr:colOff>806823</xdr:colOff>
      <xdr:row>190</xdr:row>
      <xdr:rowOff>201705</xdr:rowOff>
    </xdr:from>
    <xdr:to>
      <xdr:col>3</xdr:col>
      <xdr:colOff>806823</xdr:colOff>
      <xdr:row>195</xdr:row>
      <xdr:rowOff>7470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61FD0982-9606-1149-A430-B37D0437AA74}"/>
            </a:ext>
          </a:extLst>
        </xdr:cNvPr>
        <xdr:cNvCxnSpPr/>
      </xdr:nvCxnSpPr>
      <xdr:spPr>
        <a:xfrm>
          <a:off x="13583083294" y="38473529"/>
          <a:ext cx="0" cy="81429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747059</xdr:colOff>
      <xdr:row>190</xdr:row>
      <xdr:rowOff>194235</xdr:rowOff>
    </xdr:from>
    <xdr:to>
      <xdr:col>4</xdr:col>
      <xdr:colOff>747059</xdr:colOff>
      <xdr:row>195</xdr:row>
      <xdr:rowOff>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AD67632C-00BE-9005-9602-9053B6CDBD9E}"/>
            </a:ext>
          </a:extLst>
        </xdr:cNvPr>
        <xdr:cNvCxnSpPr/>
      </xdr:nvCxnSpPr>
      <xdr:spPr>
        <a:xfrm>
          <a:off x="13582254058" y="38667764"/>
          <a:ext cx="0" cy="8142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698499</xdr:colOff>
      <xdr:row>198</xdr:row>
      <xdr:rowOff>201612</xdr:rowOff>
    </xdr:from>
    <xdr:ext cx="2515512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C03CD00B-8E36-D032-2140-AB59FEFEDBBC}"/>
                </a:ext>
              </a:extLst>
            </xdr:cNvPr>
            <xdr:cNvSpPr txBox="1"/>
          </xdr:nvSpPr>
          <xdr:spPr>
            <a:xfrm>
              <a:off x="13516023301" y="41143237"/>
              <a:ext cx="2515512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(𝑚𝑜𝑛𝑡ℎ)=(1+𝑅/𝑛)^𝑚−1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698499</xdr:colOff>
      <xdr:row>201</xdr:row>
      <xdr:rowOff>130175</xdr:rowOff>
    </xdr:from>
    <xdr:ext cx="251551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𝑚𝑜𝑛𝑡h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8%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08AB2932-0E78-7E96-8ACA-8A1EDDF46946}"/>
                </a:ext>
              </a:extLst>
            </xdr:cNvPr>
            <xdr:cNvSpPr txBox="1"/>
          </xdr:nvSpPr>
          <xdr:spPr>
            <a:xfrm>
              <a:off x="13516023301" y="41690925"/>
              <a:ext cx="251551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 (𝑚𝑜𝑛𝑡ℎ)=(1+(8%)/</a:t>
              </a:r>
              <a:r>
                <a:rPr lang="he-IL" sz="1100" b="0" i="0">
                  <a:latin typeface="Cambria Math" panose="02040503050406030204" pitchFamily="18" charset="0"/>
                </a:rPr>
                <a:t>12</a:t>
              </a:r>
              <a:r>
                <a:rPr lang="en-US" sz="1100" b="0" i="0">
                  <a:latin typeface="Cambria Math" panose="02040503050406030204" pitchFamily="18" charset="0"/>
                </a:rPr>
                <a:t>)^</a:t>
              </a:r>
              <a:r>
                <a:rPr lang="he-IL" sz="1100" b="0" i="0">
                  <a:latin typeface="Cambria Math" panose="02040503050406030204" pitchFamily="18" charset="0"/>
                </a:rPr>
                <a:t>1</a:t>
              </a:r>
              <a:r>
                <a:rPr lang="en-US" sz="1100" b="0" i="0">
                  <a:latin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427789</xdr:colOff>
      <xdr:row>236</xdr:row>
      <xdr:rowOff>33421</xdr:rowOff>
    </xdr:from>
    <xdr:to>
      <xdr:col>3</xdr:col>
      <xdr:colOff>427789</xdr:colOff>
      <xdr:row>237</xdr:row>
      <xdr:rowOff>0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CA2006F-273B-A480-A5A4-7CB9C6C7634A}"/>
            </a:ext>
          </a:extLst>
        </xdr:cNvPr>
        <xdr:cNvCxnSpPr/>
      </xdr:nvCxnSpPr>
      <xdr:spPr>
        <a:xfrm>
          <a:off x="13577021895" y="47518053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541420</xdr:colOff>
      <xdr:row>236</xdr:row>
      <xdr:rowOff>26737</xdr:rowOff>
    </xdr:from>
    <xdr:to>
      <xdr:col>4</xdr:col>
      <xdr:colOff>541420</xdr:colOff>
      <xdr:row>236</xdr:row>
      <xdr:rowOff>193842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02627873-BAD1-6714-A06A-7572EA10DB29}"/>
            </a:ext>
          </a:extLst>
        </xdr:cNvPr>
        <xdr:cNvCxnSpPr/>
      </xdr:nvCxnSpPr>
      <xdr:spPr>
        <a:xfrm>
          <a:off x="13576019264" y="47511369"/>
          <a:ext cx="0" cy="167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728578</xdr:colOff>
      <xdr:row>239</xdr:row>
      <xdr:rowOff>40773</xdr:rowOff>
    </xdr:from>
    <xdr:ext cx="173366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F5CC5D2B-4705-178C-37FC-A01FA4E90A81}"/>
                </a:ext>
              </a:extLst>
            </xdr:cNvPr>
            <xdr:cNvSpPr txBox="1"/>
          </xdr:nvSpPr>
          <xdr:spPr>
            <a:xfrm>
              <a:off x="13574098438" y="48126984"/>
              <a:ext cx="173366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675106</xdr:colOff>
      <xdr:row>240</xdr:row>
      <xdr:rowOff>34090</xdr:rowOff>
    </xdr:from>
    <xdr:ext cx="2308509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1+12.6825%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12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−1≈1%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A0CEB83F-C0DB-6B71-B541-5067AD48B523}"/>
                </a:ext>
              </a:extLst>
            </xdr:cNvPr>
            <xdr:cNvSpPr txBox="1"/>
          </xdr:nvSpPr>
          <xdr:spPr>
            <a:xfrm>
              <a:off x="13573577069" y="48320827"/>
              <a:ext cx="230850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𝑟_𝑒=(1+12.6825%)^(1/12)−1≈1%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762000</xdr:colOff>
      <xdr:row>100</xdr:row>
      <xdr:rowOff>135467</xdr:rowOff>
    </xdr:from>
    <xdr:to>
      <xdr:col>8</xdr:col>
      <xdr:colOff>46567</xdr:colOff>
      <xdr:row>101</xdr:row>
      <xdr:rowOff>169334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B730FE26-8E90-6984-D673-9D93F26E3966}"/>
            </a:ext>
          </a:extLst>
        </xdr:cNvPr>
        <xdr:cNvCxnSpPr/>
      </xdr:nvCxnSpPr>
      <xdr:spPr>
        <a:xfrm flipH="1" flipV="1">
          <a:off x="13518341433" y="19401367"/>
          <a:ext cx="110067" cy="237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448733</xdr:colOff>
      <xdr:row>100</xdr:row>
      <xdr:rowOff>198967</xdr:rowOff>
    </xdr:from>
    <xdr:to>
      <xdr:col>7</xdr:col>
      <xdr:colOff>529167</xdr:colOff>
      <xdr:row>102</xdr:row>
      <xdr:rowOff>4234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C5A3F42-7C20-8965-A34C-EACA34F86576}"/>
            </a:ext>
          </a:extLst>
        </xdr:cNvPr>
        <xdr:cNvCxnSpPr/>
      </xdr:nvCxnSpPr>
      <xdr:spPr>
        <a:xfrm flipV="1">
          <a:off x="13518684333" y="19464867"/>
          <a:ext cx="80434" cy="2116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495300</xdr:colOff>
      <xdr:row>100</xdr:row>
      <xdr:rowOff>25400</xdr:rowOff>
    </xdr:from>
    <xdr:to>
      <xdr:col>7</xdr:col>
      <xdr:colOff>237067</xdr:colOff>
      <xdr:row>101</xdr:row>
      <xdr:rowOff>186267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A20A352-EA0E-C446-DF07-CD874E9B694B}"/>
            </a:ext>
          </a:extLst>
        </xdr:cNvPr>
        <xdr:cNvCxnSpPr/>
      </xdr:nvCxnSpPr>
      <xdr:spPr>
        <a:xfrm flipV="1">
          <a:off x="13518976433" y="19291300"/>
          <a:ext cx="567267" cy="364067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73972</xdr:colOff>
      <xdr:row>241</xdr:row>
      <xdr:rowOff>108062</xdr:rowOff>
    </xdr:from>
    <xdr:to>
      <xdr:col>2</xdr:col>
      <xdr:colOff>766234</xdr:colOff>
      <xdr:row>241</xdr:row>
      <xdr:rowOff>118534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D9CD3A38-29A7-9612-4253-11890C831C83}"/>
            </a:ext>
          </a:extLst>
        </xdr:cNvPr>
        <xdr:cNvCxnSpPr/>
      </xdr:nvCxnSpPr>
      <xdr:spPr>
        <a:xfrm flipH="1">
          <a:off x="13522600166" y="47009162"/>
          <a:ext cx="692262" cy="1047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3232</xdr:colOff>
      <xdr:row>241</xdr:row>
      <xdr:rowOff>1728</xdr:rowOff>
    </xdr:from>
    <xdr:ext cx="759885" cy="125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B2D9276A-544D-5DE7-3B43-EC235F2E8E34}"/>
                </a:ext>
              </a:extLst>
            </xdr:cNvPr>
            <xdr:cNvSpPr txBox="1"/>
          </xdr:nvSpPr>
          <xdr:spPr>
            <a:xfrm>
              <a:off x="13522603283" y="46902828"/>
              <a:ext cx="759885" cy="125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800" b="0" i="1">
                        <a:latin typeface="Cambria Math" panose="02040503050406030204" pitchFamily="18" charset="0"/>
                      </a:rPr>
                      <m:t>1%</m:t>
                    </m:r>
                  </m:oMath>
                </m:oMathPara>
              </a14:m>
              <a:endParaRPr lang="en-US" sz="800"/>
            </a:p>
          </xdr:txBody>
        </xdr:sp>
      </mc:Choice>
      <mc:Fallback xmlns="">
        <xdr:sp macro="" textlink="">
          <xdr:nvSpPr>
            <xdr:cNvPr id="51" name="TextBox 50">
              <a:extLst>
                <a:ext uri="{FF2B5EF4-FFF2-40B4-BE49-F238E27FC236}">
                  <a16:creationId xmlns:a16="http://schemas.microsoft.com/office/drawing/2014/main" id="{B2D9276A-544D-5DE7-3B43-EC235F2E8E34}"/>
                </a:ext>
              </a:extLst>
            </xdr:cNvPr>
            <xdr:cNvSpPr txBox="1"/>
          </xdr:nvSpPr>
          <xdr:spPr>
            <a:xfrm>
              <a:off x="13522603283" y="46902828"/>
              <a:ext cx="759885" cy="125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800" b="0" i="0">
                  <a:latin typeface="Cambria Math" panose="02040503050406030204" pitchFamily="18" charset="0"/>
                </a:rPr>
                <a:t>1%</a:t>
              </a:r>
              <a:endParaRPr lang="en-US" sz="800"/>
            </a:p>
          </xdr:txBody>
        </xdr:sp>
      </mc:Fallback>
    </mc:AlternateContent>
    <xdr:clientData/>
  </xdr:oneCellAnchor>
  <xdr:twoCellAnchor>
    <xdr:from>
      <xdr:col>0</xdr:col>
      <xdr:colOff>783167</xdr:colOff>
      <xdr:row>241</xdr:row>
      <xdr:rowOff>16933</xdr:rowOff>
    </xdr:from>
    <xdr:to>
      <xdr:col>1</xdr:col>
      <xdr:colOff>118533</xdr:colOff>
      <xdr:row>241</xdr:row>
      <xdr:rowOff>182033</xdr:rowOff>
    </xdr:to>
    <xdr:sp macro="" textlink="">
      <xdr:nvSpPr>
        <xdr:cNvPr id="52" name="Oval 51">
          <a:extLst>
            <a:ext uri="{FF2B5EF4-FFF2-40B4-BE49-F238E27FC236}">
              <a16:creationId xmlns:a16="http://schemas.microsoft.com/office/drawing/2014/main" id="{4C6DB9C0-9DBB-E2A5-C173-83A480715361}"/>
            </a:ext>
          </a:extLst>
        </xdr:cNvPr>
        <xdr:cNvSpPr/>
      </xdr:nvSpPr>
      <xdr:spPr>
        <a:xfrm>
          <a:off x="13524073367" y="46918033"/>
          <a:ext cx="160866" cy="1651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א</a:t>
          </a:r>
          <a:endParaRPr lang="en-US" sz="1100"/>
        </a:p>
      </xdr:txBody>
    </xdr:sp>
    <xdr:clientData/>
  </xdr:twoCellAnchor>
  <xdr:twoCellAnchor>
    <xdr:from>
      <xdr:col>1</xdr:col>
      <xdr:colOff>440267</xdr:colOff>
      <xdr:row>242</xdr:row>
      <xdr:rowOff>21167</xdr:rowOff>
    </xdr:from>
    <xdr:to>
      <xdr:col>1</xdr:col>
      <xdr:colOff>440267</xdr:colOff>
      <xdr:row>243</xdr:row>
      <xdr:rowOff>12700</xdr:rowOff>
    </xdr:to>
    <xdr:cxnSp macro="">
      <xdr:nvCxnSpPr>
        <xdr:cNvPr id="54" name="Straight Connector 53">
          <a:extLst>
            <a:ext uri="{FF2B5EF4-FFF2-40B4-BE49-F238E27FC236}">
              <a16:creationId xmlns:a16="http://schemas.microsoft.com/office/drawing/2014/main" id="{2321BF5F-0802-C6EB-6994-4A67DAEB6379}"/>
            </a:ext>
          </a:extLst>
        </xdr:cNvPr>
        <xdr:cNvCxnSpPr/>
      </xdr:nvCxnSpPr>
      <xdr:spPr>
        <a:xfrm>
          <a:off x="13523751633" y="47125467"/>
          <a:ext cx="0" cy="18203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448733</xdr:colOff>
      <xdr:row>242</xdr:row>
      <xdr:rowOff>177800</xdr:rowOff>
    </xdr:from>
    <xdr:to>
      <xdr:col>6</xdr:col>
      <xdr:colOff>220133</xdr:colOff>
      <xdr:row>243</xdr:row>
      <xdr:rowOff>8467</xdr:rowOff>
    </xdr:to>
    <xdr:cxnSp macro="">
      <xdr:nvCxnSpPr>
        <xdr:cNvPr id="55" name="Straight Connector 54">
          <a:extLst>
            <a:ext uri="{FF2B5EF4-FFF2-40B4-BE49-F238E27FC236}">
              <a16:creationId xmlns:a16="http://schemas.microsoft.com/office/drawing/2014/main" id="{E8C94C85-97E7-57B7-C265-E27DCC7D4B67}"/>
            </a:ext>
          </a:extLst>
        </xdr:cNvPr>
        <xdr:cNvCxnSpPr/>
      </xdr:nvCxnSpPr>
      <xdr:spPr>
        <a:xfrm flipH="1" flipV="1">
          <a:off x="13519818867" y="47282100"/>
          <a:ext cx="3924300" cy="21167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215900</xdr:colOff>
      <xdr:row>240</xdr:row>
      <xdr:rowOff>105833</xdr:rowOff>
    </xdr:from>
    <xdr:to>
      <xdr:col>6</xdr:col>
      <xdr:colOff>220134</xdr:colOff>
      <xdr:row>242</xdr:row>
      <xdr:rowOff>182033</xdr:rowOff>
    </xdr:to>
    <xdr:cxnSp macro="">
      <xdr:nvCxnSpPr>
        <xdr:cNvPr id="58" name="Straight Connector 57">
          <a:extLst>
            <a:ext uri="{FF2B5EF4-FFF2-40B4-BE49-F238E27FC236}">
              <a16:creationId xmlns:a16="http://schemas.microsoft.com/office/drawing/2014/main" id="{B5C0879A-DEDD-6A68-BAC4-5038001678EC}"/>
            </a:ext>
          </a:extLst>
        </xdr:cNvPr>
        <xdr:cNvCxnSpPr/>
      </xdr:nvCxnSpPr>
      <xdr:spPr>
        <a:xfrm flipH="1">
          <a:off x="13519818866" y="46803733"/>
          <a:ext cx="4234" cy="482600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812800</xdr:colOff>
      <xdr:row>240</xdr:row>
      <xdr:rowOff>105833</xdr:rowOff>
    </xdr:from>
    <xdr:to>
      <xdr:col>6</xdr:col>
      <xdr:colOff>220133</xdr:colOff>
      <xdr:row>240</xdr:row>
      <xdr:rowOff>114300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2E141E9-2ECE-E154-58B2-0F8B8D6FB408}"/>
            </a:ext>
          </a:extLst>
        </xdr:cNvPr>
        <xdr:cNvCxnSpPr/>
      </xdr:nvCxnSpPr>
      <xdr:spPr>
        <a:xfrm>
          <a:off x="13519818867" y="46803733"/>
          <a:ext cx="232833" cy="8467"/>
        </a:xfrm>
        <a:prstGeom prst="line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6</xdr:col>
      <xdr:colOff>160984</xdr:colOff>
      <xdr:row>235</xdr:row>
      <xdr:rowOff>126438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5947102-3514-0283-BBA7-4CB25F346853}"/>
                </a:ext>
              </a:extLst>
            </xdr:cNvPr>
            <xdr:cNvSpPr txBox="1"/>
          </xdr:nvSpPr>
          <xdr:spPr>
            <a:xfrm rot="16200000">
              <a:off x="13519418029" y="46096098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4" name="TextBox 63">
              <a:extLst>
                <a:ext uri="{FF2B5EF4-FFF2-40B4-BE49-F238E27FC236}">
                  <a16:creationId xmlns:a16="http://schemas.microsoft.com/office/drawing/2014/main" id="{05947102-3514-0283-BBA7-4CB25F346853}"/>
                </a:ext>
              </a:extLst>
            </xdr:cNvPr>
            <xdr:cNvSpPr txBox="1"/>
          </xdr:nvSpPr>
          <xdr:spPr>
            <a:xfrm rot="16200000">
              <a:off x="13519418029" y="46096098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516467</xdr:colOff>
      <xdr:row>237</xdr:row>
      <xdr:rowOff>29632</xdr:rowOff>
    </xdr:from>
    <xdr:to>
      <xdr:col>5</xdr:col>
      <xdr:colOff>677333</xdr:colOff>
      <xdr:row>237</xdr:row>
      <xdr:rowOff>194732</xdr:rowOff>
    </xdr:to>
    <xdr:sp macro="" textlink="">
      <xdr:nvSpPr>
        <xdr:cNvPr id="65" name="Oval 64">
          <a:extLst>
            <a:ext uri="{FF2B5EF4-FFF2-40B4-BE49-F238E27FC236}">
              <a16:creationId xmlns:a16="http://schemas.microsoft.com/office/drawing/2014/main" id="{522F3958-3B01-7DF5-59BD-20875AECEF6B}"/>
            </a:ext>
          </a:extLst>
        </xdr:cNvPr>
        <xdr:cNvSpPr/>
      </xdr:nvSpPr>
      <xdr:spPr>
        <a:xfrm>
          <a:off x="13520187167" y="46117932"/>
          <a:ext cx="160866" cy="165100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ב</a:t>
          </a:r>
          <a:endParaRPr lang="en-US" sz="1100"/>
        </a:p>
      </xdr:txBody>
    </xdr:sp>
    <xdr:clientData/>
  </xdr:twoCellAnchor>
  <xdr:oneCellAnchor>
    <xdr:from>
      <xdr:col>6</xdr:col>
      <xdr:colOff>414984</xdr:colOff>
      <xdr:row>235</xdr:row>
      <xdr:rowOff>134905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B130F2D4-8E4D-64C1-D8D5-4EEF9D453FDC}"/>
                </a:ext>
              </a:extLst>
            </xdr:cNvPr>
            <xdr:cNvSpPr txBox="1"/>
          </xdr:nvSpPr>
          <xdr:spPr>
            <a:xfrm rot="16200000">
              <a:off x="13519164029" y="46104565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6" name="TextBox 65">
              <a:extLst>
                <a:ext uri="{FF2B5EF4-FFF2-40B4-BE49-F238E27FC236}">
                  <a16:creationId xmlns:a16="http://schemas.microsoft.com/office/drawing/2014/main" id="{B130F2D4-8E4D-64C1-D8D5-4EEF9D453FDC}"/>
                </a:ext>
              </a:extLst>
            </xdr:cNvPr>
            <xdr:cNvSpPr txBox="1"/>
          </xdr:nvSpPr>
          <xdr:spPr>
            <a:xfrm rot="16200000">
              <a:off x="13519164029" y="46104565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49893</xdr:colOff>
      <xdr:row>270</xdr:row>
      <xdr:rowOff>117928</xdr:rowOff>
    </xdr:from>
    <xdr:to>
      <xdr:col>3</xdr:col>
      <xdr:colOff>90714</xdr:colOff>
      <xdr:row>271</xdr:row>
      <xdr:rowOff>22678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1B917254-09B0-80F7-5F64-FF90A5C6915D}"/>
            </a:ext>
          </a:extLst>
        </xdr:cNvPr>
        <xdr:cNvCxnSpPr/>
      </xdr:nvCxnSpPr>
      <xdr:spPr>
        <a:xfrm>
          <a:off x="13522452000" y="52623357"/>
          <a:ext cx="40821" cy="952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793750</xdr:colOff>
      <xdr:row>269</xdr:row>
      <xdr:rowOff>181428</xdr:rowOff>
    </xdr:from>
    <xdr:to>
      <xdr:col>3</xdr:col>
      <xdr:colOff>49893</xdr:colOff>
      <xdr:row>271</xdr:row>
      <xdr:rowOff>31750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99042BDA-F0D6-7684-2F18-04C047DF45BB}"/>
            </a:ext>
          </a:extLst>
        </xdr:cNvPr>
        <xdr:cNvCxnSpPr/>
      </xdr:nvCxnSpPr>
      <xdr:spPr>
        <a:xfrm flipH="1">
          <a:off x="13522492821" y="52496357"/>
          <a:ext cx="81643" cy="2313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390072</xdr:colOff>
      <xdr:row>270</xdr:row>
      <xdr:rowOff>140607</xdr:rowOff>
    </xdr:from>
    <xdr:to>
      <xdr:col>3</xdr:col>
      <xdr:colOff>430893</xdr:colOff>
      <xdr:row>271</xdr:row>
      <xdr:rowOff>45357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FB846B89-C332-21C8-1370-06501D28DF7B}"/>
            </a:ext>
          </a:extLst>
        </xdr:cNvPr>
        <xdr:cNvCxnSpPr/>
      </xdr:nvCxnSpPr>
      <xdr:spPr>
        <a:xfrm>
          <a:off x="13522111821" y="52646036"/>
          <a:ext cx="40821" cy="952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308429</xdr:colOff>
      <xdr:row>270</xdr:row>
      <xdr:rowOff>13607</xdr:rowOff>
    </xdr:from>
    <xdr:to>
      <xdr:col>3</xdr:col>
      <xdr:colOff>390072</xdr:colOff>
      <xdr:row>271</xdr:row>
      <xdr:rowOff>54429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C725199C-6552-D23C-BFD5-4AD85A63AEC5}"/>
            </a:ext>
          </a:extLst>
        </xdr:cNvPr>
        <xdr:cNvCxnSpPr/>
      </xdr:nvCxnSpPr>
      <xdr:spPr>
        <a:xfrm flipH="1">
          <a:off x="13522152642" y="52519036"/>
          <a:ext cx="81643" cy="23132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680356</xdr:colOff>
      <xdr:row>270</xdr:row>
      <xdr:rowOff>0</xdr:rowOff>
    </xdr:from>
    <xdr:to>
      <xdr:col>3</xdr:col>
      <xdr:colOff>746482</xdr:colOff>
      <xdr:row>271</xdr:row>
      <xdr:rowOff>98354</xdr:rowOff>
    </xdr:to>
    <xdr:sp macro="" textlink="">
      <xdr:nvSpPr>
        <xdr:cNvPr id="73" name="Down Arrow 72">
          <a:extLst>
            <a:ext uri="{FF2B5EF4-FFF2-40B4-BE49-F238E27FC236}">
              <a16:creationId xmlns:a16="http://schemas.microsoft.com/office/drawing/2014/main" id="{429CE22E-62B6-2FD9-FAF5-CAB3BA5961E1}"/>
            </a:ext>
          </a:extLst>
        </xdr:cNvPr>
        <xdr:cNvSpPr/>
      </xdr:nvSpPr>
      <xdr:spPr>
        <a:xfrm>
          <a:off x="13521796232" y="52505429"/>
          <a:ext cx="66126" cy="288854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11581</xdr:colOff>
      <xdr:row>287</xdr:row>
      <xdr:rowOff>119897</xdr:rowOff>
    </xdr:from>
    <xdr:ext cx="1479669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B4F05B7D-4AA6-DD88-7840-04F3FF98E5F5}"/>
                </a:ext>
              </a:extLst>
            </xdr:cNvPr>
            <xdr:cNvSpPr txBox="1"/>
          </xdr:nvSpPr>
          <xdr:spPr>
            <a:xfrm>
              <a:off x="13529683218" y="55590718"/>
              <a:ext cx="147966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4" name="TextBox 73">
              <a:extLst>
                <a:ext uri="{FF2B5EF4-FFF2-40B4-BE49-F238E27FC236}">
                  <a16:creationId xmlns:a16="http://schemas.microsoft.com/office/drawing/2014/main" id="{B4F05B7D-4AA6-DD88-7840-04F3FF98E5F5}"/>
                </a:ext>
              </a:extLst>
            </xdr:cNvPr>
            <xdr:cNvSpPr txBox="1"/>
          </xdr:nvSpPr>
          <xdr:spPr>
            <a:xfrm>
              <a:off x="13529683218" y="55590718"/>
              <a:ext cx="1479669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(1+12%)^(1/4)−1=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11581</xdr:colOff>
      <xdr:row>291</xdr:row>
      <xdr:rowOff>111431</xdr:rowOff>
    </xdr:from>
    <xdr:ext cx="14796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FE83DED6-C991-C274-5A35-D73514BC0475}"/>
                </a:ext>
              </a:extLst>
            </xdr:cNvPr>
            <xdr:cNvSpPr txBox="1"/>
          </xdr:nvSpPr>
          <xdr:spPr>
            <a:xfrm>
              <a:off x="13520198750" y="56562931"/>
              <a:ext cx="14796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5" name="TextBox 74">
              <a:extLst>
                <a:ext uri="{FF2B5EF4-FFF2-40B4-BE49-F238E27FC236}">
                  <a16:creationId xmlns:a16="http://schemas.microsoft.com/office/drawing/2014/main" id="{FE83DED6-C991-C274-5A35-D73514BC0475}"/>
                </a:ext>
              </a:extLst>
            </xdr:cNvPr>
            <xdr:cNvSpPr txBox="1"/>
          </xdr:nvSpPr>
          <xdr:spPr>
            <a:xfrm>
              <a:off x="13520198750" y="56562931"/>
              <a:ext cx="14796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𝐼𝑁𝑇_6=𝐵𝐴𝐿_5∗𝑟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76200</xdr:colOff>
      <xdr:row>292</xdr:row>
      <xdr:rowOff>174931</xdr:rowOff>
    </xdr:from>
    <xdr:ext cx="227018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AEEAE77-AC0A-84DF-B03B-9CED0FDBBCEC}"/>
                </a:ext>
              </a:extLst>
            </xdr:cNvPr>
            <xdr:cNvSpPr txBox="1"/>
          </xdr:nvSpPr>
          <xdr:spPr>
            <a:xfrm>
              <a:off x="13520194516" y="56816931"/>
              <a:ext cx="227018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8,000=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∗2.873734%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6" name="TextBox 75">
              <a:extLst>
                <a:ext uri="{FF2B5EF4-FFF2-40B4-BE49-F238E27FC236}">
                  <a16:creationId xmlns:a16="http://schemas.microsoft.com/office/drawing/2014/main" id="{5AEEAE77-AC0A-84DF-B03B-9CED0FDBBCEC}"/>
                </a:ext>
              </a:extLst>
            </xdr:cNvPr>
            <xdr:cNvSpPr txBox="1"/>
          </xdr:nvSpPr>
          <xdr:spPr>
            <a:xfrm>
              <a:off x="13520194516" y="56816931"/>
              <a:ext cx="227018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8,000=𝐵𝐴𝐿_5∗2.873734%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660400</xdr:colOff>
      <xdr:row>295</xdr:row>
      <xdr:rowOff>26764</xdr:rowOff>
    </xdr:from>
    <xdr:ext cx="1271117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1757644-DEA1-6A0F-E59F-9E5EC8860B8A}"/>
                </a:ext>
              </a:extLst>
            </xdr:cNvPr>
            <xdr:cNvSpPr txBox="1"/>
          </xdr:nvSpPr>
          <xdr:spPr>
            <a:xfrm>
              <a:off x="13520609383" y="57240264"/>
              <a:ext cx="12711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5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7" name="TextBox 76">
              <a:extLst>
                <a:ext uri="{FF2B5EF4-FFF2-40B4-BE49-F238E27FC236}">
                  <a16:creationId xmlns:a16="http://schemas.microsoft.com/office/drawing/2014/main" id="{C1757644-DEA1-6A0F-E59F-9E5EC8860B8A}"/>
                </a:ext>
              </a:extLst>
            </xdr:cNvPr>
            <xdr:cNvSpPr txBox="1"/>
          </xdr:nvSpPr>
          <xdr:spPr>
            <a:xfrm>
              <a:off x="13520609383" y="57240264"/>
              <a:ext cx="127111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𝐵𝐴𝐿_5=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132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134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135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270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275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276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278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127</xdr:row>
      <xdr:rowOff>127000</xdr:rowOff>
    </xdr:from>
    <xdr:to>
      <xdr:col>6</xdr:col>
      <xdr:colOff>193675</xdr:colOff>
      <xdr:row>131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127</xdr:row>
      <xdr:rowOff>130175</xdr:rowOff>
    </xdr:from>
    <xdr:to>
      <xdr:col>4</xdr:col>
      <xdr:colOff>752475</xdr:colOff>
      <xdr:row>131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129</xdr:row>
      <xdr:rowOff>152400</xdr:rowOff>
    </xdr:from>
    <xdr:to>
      <xdr:col>3</xdr:col>
      <xdr:colOff>428625</xdr:colOff>
      <xdr:row>131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133</xdr:row>
      <xdr:rowOff>82550</xdr:rowOff>
    </xdr:from>
    <xdr:to>
      <xdr:col>5</xdr:col>
      <xdr:colOff>50800</xdr:colOff>
      <xdr:row>134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133</xdr:row>
      <xdr:rowOff>85725</xdr:rowOff>
    </xdr:from>
    <xdr:to>
      <xdr:col>4</xdr:col>
      <xdr:colOff>228600</xdr:colOff>
      <xdr:row>134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133</xdr:row>
      <xdr:rowOff>79375</xdr:rowOff>
    </xdr:from>
    <xdr:to>
      <xdr:col>3</xdr:col>
      <xdr:colOff>485775</xdr:colOff>
      <xdr:row>134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501642</xdr:colOff>
      <xdr:row>160</xdr:row>
      <xdr:rowOff>120148</xdr:rowOff>
    </xdr:from>
    <xdr:to>
      <xdr:col>9</xdr:col>
      <xdr:colOff>87730</xdr:colOff>
      <xdr:row>168</xdr:row>
      <xdr:rowOff>81071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44838257" y="31030444"/>
          <a:ext cx="1240430" cy="1498291"/>
        </a:xfrm>
        <a:prstGeom prst="rect">
          <a:avLst/>
        </a:prstGeom>
      </xdr:spPr>
    </xdr:pic>
    <xdr:clientData/>
  </xdr:twoCellAnchor>
  <xdr:twoCellAnchor>
    <xdr:from>
      <xdr:col>7</xdr:col>
      <xdr:colOff>792786</xdr:colOff>
      <xdr:row>162</xdr:row>
      <xdr:rowOff>93772</xdr:rowOff>
    </xdr:from>
    <xdr:to>
      <xdr:col>8</xdr:col>
      <xdr:colOff>123144</xdr:colOff>
      <xdr:row>163</xdr:row>
      <xdr:rowOff>62022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45630014" y="31388410"/>
          <a:ext cx="157529" cy="16042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216440</xdr:colOff>
      <xdr:row>162</xdr:row>
      <xdr:rowOff>90353</xdr:rowOff>
    </xdr:from>
    <xdr:to>
      <xdr:col>8</xdr:col>
      <xdr:colOff>372709</xdr:colOff>
      <xdr:row>163</xdr:row>
      <xdr:rowOff>31043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45380449" y="31384991"/>
          <a:ext cx="156269" cy="132861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82845</xdr:colOff>
      <xdr:row>162</xdr:row>
      <xdr:rowOff>135291</xdr:rowOff>
    </xdr:from>
    <xdr:to>
      <xdr:col>8</xdr:col>
      <xdr:colOff>243305</xdr:colOff>
      <xdr:row>162</xdr:row>
      <xdr:rowOff>189022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45509853" y="31429929"/>
          <a:ext cx="160460" cy="53731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589586</xdr:colOff>
      <xdr:row>162</xdr:row>
      <xdr:rowOff>161668</xdr:rowOff>
    </xdr:from>
    <xdr:to>
      <xdr:col>9</xdr:col>
      <xdr:colOff>83090</xdr:colOff>
      <xdr:row>165</xdr:row>
      <xdr:rowOff>85468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44842897" y="31456306"/>
          <a:ext cx="320675" cy="500313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183</xdr:row>
      <xdr:rowOff>68675</xdr:rowOff>
    </xdr:from>
    <xdr:to>
      <xdr:col>8</xdr:col>
      <xdr:colOff>577589</xdr:colOff>
      <xdr:row>186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53731</xdr:colOff>
      <xdr:row>183</xdr:row>
      <xdr:rowOff>86202</xdr:rowOff>
    </xdr:from>
    <xdr:to>
      <xdr:col>7</xdr:col>
      <xdr:colOff>271396</xdr:colOff>
      <xdr:row>185</xdr:row>
      <xdr:rowOff>180731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18942104" y="35187048"/>
          <a:ext cx="1868665" cy="475529"/>
        </a:xfrm>
        <a:prstGeom prst="wedgeRoundRectCallout">
          <a:avLst>
            <a:gd name="adj1" fmla="val -41670"/>
            <a:gd name="adj2" fmla="val -6834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היחס בין המדד העדכני לישן (הבסיסי) במועד נטלת ההלוואה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7</xdr:col>
      <xdr:colOff>290360</xdr:colOff>
      <xdr:row>214</xdr:row>
      <xdr:rowOff>48010</xdr:rowOff>
    </xdr:from>
    <xdr:to>
      <xdr:col>8</xdr:col>
      <xdr:colOff>335868</xdr:colOff>
      <xdr:row>217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214</xdr:row>
      <xdr:rowOff>93492</xdr:rowOff>
    </xdr:from>
    <xdr:to>
      <xdr:col>7</xdr:col>
      <xdr:colOff>45482</xdr:colOff>
      <xdr:row>218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276</xdr:row>
      <xdr:rowOff>17493</xdr:rowOff>
    </xdr:from>
    <xdr:to>
      <xdr:col>6</xdr:col>
      <xdr:colOff>129449</xdr:colOff>
      <xdr:row>276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277</xdr:row>
      <xdr:rowOff>108457</xdr:rowOff>
    </xdr:from>
    <xdr:to>
      <xdr:col>6</xdr:col>
      <xdr:colOff>209917</xdr:colOff>
      <xdr:row>278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259</xdr:row>
      <xdr:rowOff>104959</xdr:rowOff>
    </xdr:from>
    <xdr:to>
      <xdr:col>4</xdr:col>
      <xdr:colOff>701252</xdr:colOff>
      <xdr:row>276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277</xdr:row>
      <xdr:rowOff>83967</xdr:rowOff>
    </xdr:from>
    <xdr:to>
      <xdr:col>5</xdr:col>
      <xdr:colOff>62975</xdr:colOff>
      <xdr:row>278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95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146</xdr:row>
      <xdr:rowOff>160053</xdr:rowOff>
    </xdr:from>
    <xdr:to>
      <xdr:col>10</xdr:col>
      <xdr:colOff>455281</xdr:colOff>
      <xdr:row>157</xdr:row>
      <xdr:rowOff>187887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405231</xdr:colOff>
      <xdr:row>238</xdr:row>
      <xdr:rowOff>111269</xdr:rowOff>
    </xdr:from>
    <xdr:to>
      <xdr:col>7</xdr:col>
      <xdr:colOff>251564</xdr:colOff>
      <xdr:row>250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46328765" y="43838539"/>
          <a:ext cx="2377978" cy="2309084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272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588537</xdr:colOff>
      <xdr:row>30</xdr:row>
      <xdr:rowOff>100672</xdr:rowOff>
    </xdr:from>
    <xdr:to>
      <xdr:col>6</xdr:col>
      <xdr:colOff>480122</xdr:colOff>
      <xdr:row>34</xdr:row>
      <xdr:rowOff>96799</xdr:rowOff>
    </xdr:to>
    <xdr:sp macro="" textlink="">
      <xdr:nvSpPr>
        <xdr:cNvPr id="3" name="Rounded Rectangle 2">
          <a:extLst>
            <a:ext uri="{FF2B5EF4-FFF2-40B4-BE49-F238E27FC236}">
              <a16:creationId xmlns:a16="http://schemas.microsoft.com/office/drawing/2014/main" id="{F0649ED7-FE8E-0276-32E6-7D748E63D9F1}"/>
            </a:ext>
          </a:extLst>
        </xdr:cNvPr>
        <xdr:cNvSpPr/>
      </xdr:nvSpPr>
      <xdr:spPr>
        <a:xfrm>
          <a:off x="13506875915" y="5889239"/>
          <a:ext cx="1591372" cy="75503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אינפלציה באחוזים: השינוי היחסי במדד בתקופת העסקה / בתקופת החישוב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5</xdr:col>
      <xdr:colOff>472379</xdr:colOff>
      <xdr:row>52</xdr:row>
      <xdr:rowOff>120031</xdr:rowOff>
    </xdr:from>
    <xdr:to>
      <xdr:col>7</xdr:col>
      <xdr:colOff>402682</xdr:colOff>
      <xdr:row>55</xdr:row>
      <xdr:rowOff>185854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4A68798A-774E-1441-8226-7456500949EB}"/>
            </a:ext>
          </a:extLst>
        </xdr:cNvPr>
        <xdr:cNvSpPr/>
      </xdr:nvSpPr>
      <xdr:spPr>
        <a:xfrm>
          <a:off x="13506128629" y="10082561"/>
          <a:ext cx="1579755" cy="63500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>
              <a:latin typeface="David" panose="020E0502060401010101" pitchFamily="34" charset="-79"/>
              <a:cs typeface="David" panose="020E0502060401010101" pitchFamily="34" charset="-79"/>
            </a:rPr>
            <a:t>כאשר אינפלציה למספר תקופות נתונה - חישוב אינפלציה לתקופה כוללת תתקבל ע״י רצף מכפלות של ערכי האינפלציה</a:t>
          </a:r>
          <a:endParaRPr lang="en-US" sz="9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734846</xdr:colOff>
      <xdr:row>66</xdr:row>
      <xdr:rowOff>35365</xdr:rowOff>
    </xdr:from>
    <xdr:to>
      <xdr:col>8</xdr:col>
      <xdr:colOff>665149</xdr:colOff>
      <xdr:row>69</xdr:row>
      <xdr:rowOff>101188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393C2DFE-43F6-D30A-4746-873FB8289BEE}"/>
            </a:ext>
          </a:extLst>
        </xdr:cNvPr>
        <xdr:cNvSpPr/>
      </xdr:nvSpPr>
      <xdr:spPr>
        <a:xfrm>
          <a:off x="13517722851" y="12709965"/>
          <a:ext cx="1581303" cy="63732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900">
              <a:latin typeface="David" panose="020E0502060401010101" pitchFamily="34" charset="-79"/>
              <a:cs typeface="David" panose="020E0502060401010101" pitchFamily="34" charset="-79"/>
            </a:rPr>
            <a:t>אם ערכי המדד ידועים לתחילת השנה ולסופה, היחס בין המדדים פחות אחת הוא האינפלציה הכוללת השנתית</a:t>
          </a:r>
          <a:endParaRPr lang="en-US" sz="9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5</xdr:col>
      <xdr:colOff>732367</xdr:colOff>
      <xdr:row>95</xdr:row>
      <xdr:rowOff>110067</xdr:rowOff>
    </xdr:from>
    <xdr:to>
      <xdr:col>6</xdr:col>
      <xdr:colOff>270933</xdr:colOff>
      <xdr:row>96</xdr:row>
      <xdr:rowOff>0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981DB368-AB17-776D-8115-BC5690923845}"/>
            </a:ext>
          </a:extLst>
        </xdr:cNvPr>
        <xdr:cNvCxnSpPr/>
      </xdr:nvCxnSpPr>
      <xdr:spPr>
        <a:xfrm flipH="1" flipV="1">
          <a:off x="13519768067" y="17763067"/>
          <a:ext cx="364066" cy="8043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76201</xdr:colOff>
      <xdr:row>95</xdr:row>
      <xdr:rowOff>33867</xdr:rowOff>
    </xdr:from>
    <xdr:to>
      <xdr:col>5</xdr:col>
      <xdr:colOff>414867</xdr:colOff>
      <xdr:row>95</xdr:row>
      <xdr:rowOff>173566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C0F207B4-F43F-1307-29FD-AFC989E5AE3E}"/>
            </a:ext>
          </a:extLst>
        </xdr:cNvPr>
        <xdr:cNvCxnSpPr/>
      </xdr:nvCxnSpPr>
      <xdr:spPr>
        <a:xfrm flipH="1" flipV="1">
          <a:off x="13520449633" y="17686867"/>
          <a:ext cx="338666" cy="1396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313267</xdr:colOff>
      <xdr:row>97</xdr:row>
      <xdr:rowOff>88900</xdr:rowOff>
    </xdr:from>
    <xdr:to>
      <xdr:col>4</xdr:col>
      <xdr:colOff>321734</xdr:colOff>
      <xdr:row>98</xdr:row>
      <xdr:rowOff>97367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53E05610-170B-1C49-83BD-6665EACB1464}"/>
            </a:ext>
          </a:extLst>
        </xdr:cNvPr>
        <xdr:cNvCxnSpPr/>
      </xdr:nvCxnSpPr>
      <xdr:spPr>
        <a:xfrm flipH="1">
          <a:off x="13521419066" y="18313400"/>
          <a:ext cx="8467" cy="1989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235185</xdr:colOff>
      <xdr:row>109</xdr:row>
      <xdr:rowOff>84667</xdr:rowOff>
    </xdr:from>
    <xdr:to>
      <xdr:col>10</xdr:col>
      <xdr:colOff>94073</xdr:colOff>
      <xdr:row>117</xdr:row>
      <xdr:rowOff>122296</xdr:rowOff>
    </xdr:to>
    <xdr:sp macro="" textlink="">
      <xdr:nvSpPr>
        <xdr:cNvPr id="47" name="Rounded Rectangle 46">
          <a:extLst>
            <a:ext uri="{FF2B5EF4-FFF2-40B4-BE49-F238E27FC236}">
              <a16:creationId xmlns:a16="http://schemas.microsoft.com/office/drawing/2014/main" id="{2CA8216E-85CD-AA37-367B-6AAD51EE247D}"/>
            </a:ext>
          </a:extLst>
        </xdr:cNvPr>
        <xdr:cNvSpPr/>
      </xdr:nvSpPr>
      <xdr:spPr>
        <a:xfrm>
          <a:off x="13555152149" y="21246630"/>
          <a:ext cx="3998148" cy="1580444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אם בעסקה יש הצמדה למדד:</a:t>
          </a:r>
        </a:p>
        <a:p>
          <a:pPr algn="r" rtl="1"/>
          <a:r>
            <a:rPr lang="he-IL" sz="1100"/>
            <a:t>הריבית הנומינלית בעסקה =</a:t>
          </a:r>
          <a:r>
            <a:rPr lang="he-IL" sz="1100" baseline="0"/>
            <a:t> ריבית כוללת = המתחשבת באינפלציה / בהצמדה</a:t>
          </a:r>
        </a:p>
        <a:p>
          <a:pPr algn="r" rtl="1"/>
          <a:r>
            <a:rPr lang="he-IL" sz="1100" baseline="0"/>
            <a:t>הריבית הנתונה (לפני הצמדה) = ריבית ריאלית</a:t>
          </a:r>
        </a:p>
        <a:p>
          <a:pPr algn="r" rtl="1"/>
          <a:endParaRPr lang="he-IL" sz="1100" baseline="0"/>
        </a:p>
        <a:p>
          <a:pPr algn="r" rtl="1"/>
          <a:r>
            <a:rPr lang="he-IL" sz="1100" baseline="0"/>
            <a:t>אם בעסקה אין הצמדה למדד:</a:t>
          </a:r>
        </a:p>
        <a:p>
          <a:pPr algn="r" rtl="1"/>
          <a:r>
            <a:rPr lang="he-IL" sz="1100" baseline="0"/>
            <a:t>הריבית הנומינלית בעסקה = הריבית הנתונה</a:t>
          </a:r>
        </a:p>
        <a:p>
          <a:pPr algn="r" rtl="1"/>
          <a:r>
            <a:rPr lang="he-IL" sz="1100" baseline="0"/>
            <a:t>הריבית הריאלית = הריבית הנומינלית ״בניכוי״ האינפלציה</a:t>
          </a:r>
        </a:p>
        <a:p>
          <a:pPr algn="r" rtl="1"/>
          <a:endParaRPr lang="he-IL" sz="1100" baseline="0"/>
        </a:p>
        <a:p>
          <a:pPr algn="r" rtl="1"/>
          <a:endParaRPr lang="he-IL" sz="1100" baseline="0"/>
        </a:p>
        <a:p>
          <a:pPr algn="r" rtl="1"/>
          <a:endParaRPr lang="en-US" sz="1100"/>
        </a:p>
      </xdr:txBody>
    </xdr:sp>
    <xdr:clientData/>
  </xdr:twoCellAnchor>
  <xdr:oneCellAnchor>
    <xdr:from>
      <xdr:col>6</xdr:col>
      <xdr:colOff>550335</xdr:colOff>
      <xdr:row>127</xdr:row>
      <xdr:rowOff>116651</xdr:rowOff>
    </xdr:from>
    <xdr:ext cx="2396890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A29D59D-551F-BDA2-08BD-A30C02392810}"/>
                </a:ext>
              </a:extLst>
            </xdr:cNvPr>
            <xdr:cNvSpPr txBox="1"/>
          </xdr:nvSpPr>
          <xdr:spPr>
            <a:xfrm>
              <a:off x="13555610405" y="24749947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6A29D59D-551F-BDA2-08BD-A30C02392810}"/>
                </a:ext>
              </a:extLst>
            </xdr:cNvPr>
            <xdr:cNvSpPr txBox="1"/>
          </xdr:nvSpPr>
          <xdr:spPr>
            <a:xfrm>
              <a:off x="13555610405" y="24749947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𝑟_𝑛=(1+2%)∗(1+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540926</xdr:colOff>
      <xdr:row>130</xdr:row>
      <xdr:rowOff>55502</xdr:rowOff>
    </xdr:from>
    <xdr:ext cx="2396890" cy="17222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39C69D39-6038-42CC-5820-B4B76F27E733}"/>
                </a:ext>
              </a:extLst>
            </xdr:cNvPr>
            <xdr:cNvSpPr txBox="1"/>
          </xdr:nvSpPr>
          <xdr:spPr>
            <a:xfrm>
              <a:off x="13555619814" y="25267354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6%=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𝜋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39C69D39-6038-42CC-5820-B4B76F27E733}"/>
                </a:ext>
              </a:extLst>
            </xdr:cNvPr>
            <xdr:cNvSpPr txBox="1"/>
          </xdr:nvSpPr>
          <xdr:spPr>
            <a:xfrm>
              <a:off x="13555619814" y="25267354"/>
              <a:ext cx="239689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6%=(1+𝑟_𝑟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𝜋)−1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9</xdr:col>
      <xdr:colOff>37630</xdr:colOff>
      <xdr:row>128</xdr:row>
      <xdr:rowOff>112889</xdr:rowOff>
    </xdr:from>
    <xdr:to>
      <xdr:col>9</xdr:col>
      <xdr:colOff>42333</xdr:colOff>
      <xdr:row>130</xdr:row>
      <xdr:rowOff>84667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EB0D659C-0563-4267-CD78-4DA7B59A5D71}"/>
            </a:ext>
          </a:extLst>
        </xdr:cNvPr>
        <xdr:cNvCxnSpPr/>
      </xdr:nvCxnSpPr>
      <xdr:spPr>
        <a:xfrm flipH="1">
          <a:off x="13556031741" y="24939037"/>
          <a:ext cx="4703" cy="35748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188150</xdr:colOff>
      <xdr:row>128</xdr:row>
      <xdr:rowOff>122295</xdr:rowOff>
    </xdr:from>
    <xdr:to>
      <xdr:col>8</xdr:col>
      <xdr:colOff>192853</xdr:colOff>
      <xdr:row>130</xdr:row>
      <xdr:rowOff>94073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5EF04E12-0F94-A9A0-B92E-BC809989B416}"/>
            </a:ext>
          </a:extLst>
        </xdr:cNvPr>
        <xdr:cNvCxnSpPr/>
      </xdr:nvCxnSpPr>
      <xdr:spPr>
        <a:xfrm flipH="1">
          <a:off x="13556709073" y="24948443"/>
          <a:ext cx="4703" cy="35748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136408</xdr:colOff>
      <xdr:row>133</xdr:row>
      <xdr:rowOff>94074</xdr:rowOff>
    </xdr:from>
    <xdr:to>
      <xdr:col>6</xdr:col>
      <xdr:colOff>630297</xdr:colOff>
      <xdr:row>134</xdr:row>
      <xdr:rowOff>47037</xdr:rowOff>
    </xdr:to>
    <xdr:sp macro="" textlink="">
      <xdr:nvSpPr>
        <xdr:cNvPr id="53" name="Right Arrow 52">
          <a:extLst>
            <a:ext uri="{FF2B5EF4-FFF2-40B4-BE49-F238E27FC236}">
              <a16:creationId xmlns:a16="http://schemas.microsoft.com/office/drawing/2014/main" id="{9CA4F1BA-4919-F87E-F5C7-2024DF2C3F2D}"/>
            </a:ext>
          </a:extLst>
        </xdr:cNvPr>
        <xdr:cNvSpPr/>
      </xdr:nvSpPr>
      <xdr:spPr>
        <a:xfrm>
          <a:off x="13557927333" y="25884481"/>
          <a:ext cx="493889" cy="145815"/>
        </a:xfrm>
        <a:prstGeom prst="righ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801076</xdr:colOff>
      <xdr:row>164</xdr:row>
      <xdr:rowOff>117230</xdr:rowOff>
    </xdr:from>
    <xdr:to>
      <xdr:col>3</xdr:col>
      <xdr:colOff>34192</xdr:colOff>
      <xdr:row>166</xdr:row>
      <xdr:rowOff>4883</xdr:rowOff>
    </xdr:to>
    <xdr:sp macro="" textlink="">
      <xdr:nvSpPr>
        <xdr:cNvPr id="54" name="Rounded Rectangle 53">
          <a:extLst>
            <a:ext uri="{FF2B5EF4-FFF2-40B4-BE49-F238E27FC236}">
              <a16:creationId xmlns:a16="http://schemas.microsoft.com/office/drawing/2014/main" id="{6B7937BB-26FC-8175-16D8-16F6C01F6410}"/>
            </a:ext>
          </a:extLst>
        </xdr:cNvPr>
        <xdr:cNvSpPr/>
      </xdr:nvSpPr>
      <xdr:spPr>
        <a:xfrm>
          <a:off x="13522530154" y="31539961"/>
          <a:ext cx="1709616" cy="268653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000"/>
            <a:t>חשב</a:t>
          </a:r>
          <a:r>
            <a:rPr lang="he-IL" sz="1000" baseline="0"/>
            <a:t> </a:t>
          </a:r>
          <a:r>
            <a:rPr lang="en-US" sz="1000" baseline="0"/>
            <a:t>PMT</a:t>
          </a:r>
          <a:r>
            <a:rPr lang="he-IL" sz="1000" baseline="0"/>
            <a:t> בהתעלם מהצמדה</a:t>
          </a:r>
          <a:endParaRPr lang="en-US" sz="1000"/>
        </a:p>
      </xdr:txBody>
    </xdr:sp>
    <xdr:clientData/>
  </xdr:twoCellAnchor>
  <xdr:twoCellAnchor>
    <xdr:from>
      <xdr:col>3</xdr:col>
      <xdr:colOff>537309</xdr:colOff>
      <xdr:row>163</xdr:row>
      <xdr:rowOff>14654</xdr:rowOff>
    </xdr:from>
    <xdr:to>
      <xdr:col>6</xdr:col>
      <xdr:colOff>493346</xdr:colOff>
      <xdr:row>166</xdr:row>
      <xdr:rowOff>9768</xdr:rowOff>
    </xdr:to>
    <xdr:sp macro="" textlink="">
      <xdr:nvSpPr>
        <xdr:cNvPr id="55" name="Rounded Rectangle 54">
          <a:extLst>
            <a:ext uri="{FF2B5EF4-FFF2-40B4-BE49-F238E27FC236}">
              <a16:creationId xmlns:a16="http://schemas.microsoft.com/office/drawing/2014/main" id="{4642FB2A-70F6-05EE-36B6-35B7C5F4C898}"/>
            </a:ext>
          </a:extLst>
        </xdr:cNvPr>
        <xdr:cNvSpPr/>
      </xdr:nvSpPr>
      <xdr:spPr>
        <a:xfrm>
          <a:off x="13519545654" y="31246885"/>
          <a:ext cx="2481383" cy="566614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900"/>
            <a:t>לכפול ב-1 ועוד האינפלציה באחוזים</a:t>
          </a:r>
        </a:p>
        <a:p>
          <a:pPr algn="ctr" rtl="1"/>
          <a:r>
            <a:rPr lang="he-IL" sz="900"/>
            <a:t>או:</a:t>
          </a:r>
        </a:p>
        <a:p>
          <a:pPr algn="ctr" rtl="1"/>
          <a:r>
            <a:rPr lang="he-IL" sz="900"/>
            <a:t>לכפול ביחס בין המדד העדכני למדד הבסיס</a:t>
          </a:r>
          <a:endParaRPr lang="en-US" sz="900"/>
        </a:p>
      </xdr:txBody>
    </xdr:sp>
    <xdr:clientData/>
  </xdr:twoCellAnchor>
  <xdr:twoCellAnchor>
    <xdr:from>
      <xdr:col>3</xdr:col>
      <xdr:colOff>63500</xdr:colOff>
      <xdr:row>164</xdr:row>
      <xdr:rowOff>180730</xdr:rowOff>
    </xdr:from>
    <xdr:to>
      <xdr:col>3</xdr:col>
      <xdr:colOff>498230</xdr:colOff>
      <xdr:row>165</xdr:row>
      <xdr:rowOff>102576</xdr:rowOff>
    </xdr:to>
    <xdr:sp macro="" textlink="">
      <xdr:nvSpPr>
        <xdr:cNvPr id="57" name="Left Arrow 56">
          <a:extLst>
            <a:ext uri="{FF2B5EF4-FFF2-40B4-BE49-F238E27FC236}">
              <a16:creationId xmlns:a16="http://schemas.microsoft.com/office/drawing/2014/main" id="{78F99846-BE5C-EA5F-E6AD-130AA23DEE24}"/>
            </a:ext>
          </a:extLst>
        </xdr:cNvPr>
        <xdr:cNvSpPr/>
      </xdr:nvSpPr>
      <xdr:spPr>
        <a:xfrm>
          <a:off x="13522066116" y="31603461"/>
          <a:ext cx="434730" cy="112346"/>
        </a:xfrm>
        <a:prstGeom prst="left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78154</xdr:colOff>
      <xdr:row>172</xdr:row>
      <xdr:rowOff>107461</xdr:rowOff>
    </xdr:from>
    <xdr:to>
      <xdr:col>5</xdr:col>
      <xdr:colOff>395654</xdr:colOff>
      <xdr:row>172</xdr:row>
      <xdr:rowOff>112346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442A2DC9-9B98-CA63-DFA9-6169F93CE66D}"/>
            </a:ext>
          </a:extLst>
        </xdr:cNvPr>
        <xdr:cNvCxnSpPr/>
      </xdr:nvCxnSpPr>
      <xdr:spPr>
        <a:xfrm flipH="1">
          <a:off x="13520468846" y="33054192"/>
          <a:ext cx="317500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390769</xdr:colOff>
      <xdr:row>172</xdr:row>
      <xdr:rowOff>107461</xdr:rowOff>
    </xdr:from>
    <xdr:to>
      <xdr:col>5</xdr:col>
      <xdr:colOff>395654</xdr:colOff>
      <xdr:row>174</xdr:row>
      <xdr:rowOff>48846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89F8FA0-BB6E-4446-ED21-01BFD2C6632B}"/>
            </a:ext>
          </a:extLst>
        </xdr:cNvPr>
        <xdr:cNvCxnSpPr/>
      </xdr:nvCxnSpPr>
      <xdr:spPr>
        <a:xfrm flipV="1">
          <a:off x="13520468846" y="33054192"/>
          <a:ext cx="4885" cy="3223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381000</xdr:colOff>
      <xdr:row>174</xdr:row>
      <xdr:rowOff>34192</xdr:rowOff>
    </xdr:from>
    <xdr:to>
      <xdr:col>7</xdr:col>
      <xdr:colOff>517769</xdr:colOff>
      <xdr:row>174</xdr:row>
      <xdr:rowOff>39077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EE4A7FEA-C8EE-8EEF-29B7-4FE44D3081AC}"/>
            </a:ext>
          </a:extLst>
        </xdr:cNvPr>
        <xdr:cNvCxnSpPr/>
      </xdr:nvCxnSpPr>
      <xdr:spPr>
        <a:xfrm flipH="1">
          <a:off x="13518695731" y="33361923"/>
          <a:ext cx="1787769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503115</xdr:colOff>
      <xdr:row>174</xdr:row>
      <xdr:rowOff>34191</xdr:rowOff>
    </xdr:from>
    <xdr:to>
      <xdr:col>7</xdr:col>
      <xdr:colOff>507999</xdr:colOff>
      <xdr:row>175</xdr:row>
      <xdr:rowOff>34192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43FD33BC-8A2F-F7D2-FD2D-BF7C50810E42}"/>
            </a:ext>
          </a:extLst>
        </xdr:cNvPr>
        <xdr:cNvCxnSpPr/>
      </xdr:nvCxnSpPr>
      <xdr:spPr>
        <a:xfrm flipH="1" flipV="1">
          <a:off x="13518705501" y="33361922"/>
          <a:ext cx="4884" cy="20515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747346</xdr:colOff>
      <xdr:row>175</xdr:row>
      <xdr:rowOff>205153</xdr:rowOff>
    </xdr:from>
    <xdr:to>
      <xdr:col>6</xdr:col>
      <xdr:colOff>752231</xdr:colOff>
      <xdr:row>176</xdr:row>
      <xdr:rowOff>151424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254B635-4866-D193-B68A-1CACDE3B75FD}"/>
            </a:ext>
          </a:extLst>
        </xdr:cNvPr>
        <xdr:cNvCxnSpPr/>
      </xdr:nvCxnSpPr>
      <xdr:spPr>
        <a:xfrm flipH="1">
          <a:off x="13519286769" y="33738038"/>
          <a:ext cx="4885" cy="1514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9769</xdr:colOff>
      <xdr:row>175</xdr:row>
      <xdr:rowOff>117230</xdr:rowOff>
    </xdr:from>
    <xdr:to>
      <xdr:col>9</xdr:col>
      <xdr:colOff>483577</xdr:colOff>
      <xdr:row>175</xdr:row>
      <xdr:rowOff>127000</xdr:rowOff>
    </xdr:to>
    <xdr:cxnSp macro="">
      <xdr:nvCxnSpPr>
        <xdr:cNvPr id="69" name="Straight Connector 68">
          <a:extLst>
            <a:ext uri="{FF2B5EF4-FFF2-40B4-BE49-F238E27FC236}">
              <a16:creationId xmlns:a16="http://schemas.microsoft.com/office/drawing/2014/main" id="{AAF3FD5A-E4F3-D1CA-9AE7-255413756E03}"/>
            </a:ext>
          </a:extLst>
        </xdr:cNvPr>
        <xdr:cNvCxnSpPr/>
      </xdr:nvCxnSpPr>
      <xdr:spPr>
        <a:xfrm flipV="1">
          <a:off x="13517078923" y="33650115"/>
          <a:ext cx="1299308" cy="9770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488460</xdr:colOff>
      <xdr:row>175</xdr:row>
      <xdr:rowOff>112345</xdr:rowOff>
    </xdr:from>
    <xdr:to>
      <xdr:col>9</xdr:col>
      <xdr:colOff>488462</xdr:colOff>
      <xdr:row>182</xdr:row>
      <xdr:rowOff>136770</xdr:rowOff>
    </xdr:to>
    <xdr:cxnSp macro="">
      <xdr:nvCxnSpPr>
        <xdr:cNvPr id="72" name="Straight Connector 71">
          <a:extLst>
            <a:ext uri="{FF2B5EF4-FFF2-40B4-BE49-F238E27FC236}">
              <a16:creationId xmlns:a16="http://schemas.microsoft.com/office/drawing/2014/main" id="{33337CDF-9299-AD52-4335-E36E58E5CA27}"/>
            </a:ext>
          </a:extLst>
        </xdr:cNvPr>
        <xdr:cNvCxnSpPr/>
      </xdr:nvCxnSpPr>
      <xdr:spPr>
        <a:xfrm flipV="1">
          <a:off x="13517074038" y="33645230"/>
          <a:ext cx="2" cy="138723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405424</xdr:colOff>
      <xdr:row>182</xdr:row>
      <xdr:rowOff>136769</xdr:rowOff>
    </xdr:from>
    <xdr:to>
      <xdr:col>9</xdr:col>
      <xdr:colOff>493347</xdr:colOff>
      <xdr:row>182</xdr:row>
      <xdr:rowOff>141654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57C71B8E-C05A-39AB-4A5D-9F3D98793DA2}"/>
            </a:ext>
          </a:extLst>
        </xdr:cNvPr>
        <xdr:cNvCxnSpPr/>
      </xdr:nvCxnSpPr>
      <xdr:spPr>
        <a:xfrm>
          <a:off x="13517069153" y="35032461"/>
          <a:ext cx="913423" cy="488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703385</xdr:colOff>
      <xdr:row>189</xdr:row>
      <xdr:rowOff>0</xdr:rowOff>
    </xdr:from>
    <xdr:to>
      <xdr:col>8</xdr:col>
      <xdr:colOff>122115</xdr:colOff>
      <xdr:row>189</xdr:row>
      <xdr:rowOff>166077</xdr:rowOff>
    </xdr:to>
    <xdr:cxnSp macro="">
      <xdr:nvCxnSpPr>
        <xdr:cNvPr id="77" name="Straight Arrow Connector 76">
          <a:extLst>
            <a:ext uri="{FF2B5EF4-FFF2-40B4-BE49-F238E27FC236}">
              <a16:creationId xmlns:a16="http://schemas.microsoft.com/office/drawing/2014/main" id="{851C036D-6C70-18AD-9CA5-072CF0308CB4}"/>
            </a:ext>
          </a:extLst>
        </xdr:cNvPr>
        <xdr:cNvCxnSpPr/>
      </xdr:nvCxnSpPr>
      <xdr:spPr>
        <a:xfrm flipH="1">
          <a:off x="13518265885" y="36243846"/>
          <a:ext cx="244230" cy="16607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141654</xdr:colOff>
      <xdr:row>188</xdr:row>
      <xdr:rowOff>161192</xdr:rowOff>
    </xdr:from>
    <xdr:to>
      <xdr:col>7</xdr:col>
      <xdr:colOff>337039</xdr:colOff>
      <xdr:row>190</xdr:row>
      <xdr:rowOff>0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4207C416-BC7F-DE7F-40E8-0A40E0C8F460}"/>
            </a:ext>
          </a:extLst>
        </xdr:cNvPr>
        <xdr:cNvCxnSpPr/>
      </xdr:nvCxnSpPr>
      <xdr:spPr>
        <a:xfrm>
          <a:off x="13518876461" y="36214538"/>
          <a:ext cx="195385" cy="2198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200269</xdr:colOff>
      <xdr:row>188</xdr:row>
      <xdr:rowOff>161192</xdr:rowOff>
    </xdr:from>
    <xdr:to>
      <xdr:col>7</xdr:col>
      <xdr:colOff>68385</xdr:colOff>
      <xdr:row>190</xdr:row>
      <xdr:rowOff>14654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C92B10F6-D17E-D7A5-9703-D3832AC9D8BE}"/>
            </a:ext>
          </a:extLst>
        </xdr:cNvPr>
        <xdr:cNvCxnSpPr/>
      </xdr:nvCxnSpPr>
      <xdr:spPr>
        <a:xfrm>
          <a:off x="13519145115" y="36214538"/>
          <a:ext cx="693616" cy="23446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320547</xdr:colOff>
      <xdr:row>194</xdr:row>
      <xdr:rowOff>68674</xdr:rowOff>
    </xdr:from>
    <xdr:to>
      <xdr:col>9</xdr:col>
      <xdr:colOff>312615</xdr:colOff>
      <xdr:row>196</xdr:row>
      <xdr:rowOff>14654</xdr:rowOff>
    </xdr:to>
    <xdr:sp macro="" textlink="">
      <xdr:nvSpPr>
        <xdr:cNvPr id="83" name="Rounded Rectangular Callout 82">
          <a:extLst>
            <a:ext uri="{FF2B5EF4-FFF2-40B4-BE49-F238E27FC236}">
              <a16:creationId xmlns:a16="http://schemas.microsoft.com/office/drawing/2014/main" id="{4C04664E-28D6-4527-88DC-00686A04F102}"/>
            </a:ext>
          </a:extLst>
        </xdr:cNvPr>
        <xdr:cNvSpPr/>
      </xdr:nvSpPr>
      <xdr:spPr>
        <a:xfrm>
          <a:off x="13517249885" y="37294328"/>
          <a:ext cx="1643068" cy="326980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261931</xdr:colOff>
      <xdr:row>194</xdr:row>
      <xdr:rowOff>73558</xdr:rowOff>
    </xdr:from>
    <xdr:to>
      <xdr:col>7</xdr:col>
      <xdr:colOff>253999</xdr:colOff>
      <xdr:row>196</xdr:row>
      <xdr:rowOff>102577</xdr:rowOff>
    </xdr:to>
    <xdr:sp macro="" textlink="">
      <xdr:nvSpPr>
        <xdr:cNvPr id="84" name="Rounded Rectangular Callout 83">
          <a:extLst>
            <a:ext uri="{FF2B5EF4-FFF2-40B4-BE49-F238E27FC236}">
              <a16:creationId xmlns:a16="http://schemas.microsoft.com/office/drawing/2014/main" id="{14E67173-EB7D-26F0-2ADD-2063BB8D4CF1}"/>
            </a:ext>
          </a:extLst>
        </xdr:cNvPr>
        <xdr:cNvSpPr/>
      </xdr:nvSpPr>
      <xdr:spPr>
        <a:xfrm>
          <a:off x="13518959501" y="37299212"/>
          <a:ext cx="1643068" cy="410019"/>
        </a:xfrm>
        <a:prstGeom prst="wedgeRoundRectCallout">
          <a:avLst>
            <a:gd name="adj1" fmla="val -37178"/>
            <a:gd name="adj2" fmla="val -7190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סכום כולל אחרי הצמדה: דורש מכפלה ב-1 ועוד האינפלציה</a:t>
          </a:r>
          <a:endParaRPr lang="en-US" sz="900"/>
        </a:p>
      </xdr:txBody>
    </xdr:sp>
    <xdr:clientData/>
  </xdr:twoCellAnchor>
  <xdr:twoCellAnchor>
    <xdr:from>
      <xdr:col>3</xdr:col>
      <xdr:colOff>685132</xdr:colOff>
      <xdr:row>206</xdr:row>
      <xdr:rowOff>100263</xdr:rowOff>
    </xdr:from>
    <xdr:to>
      <xdr:col>4</xdr:col>
      <xdr:colOff>96086</xdr:colOff>
      <xdr:row>206</xdr:row>
      <xdr:rowOff>104441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EBBDF10D-3305-36BE-CCCA-C948F159058D}"/>
            </a:ext>
          </a:extLst>
        </xdr:cNvPr>
        <xdr:cNvCxnSpPr/>
      </xdr:nvCxnSpPr>
      <xdr:spPr>
        <a:xfrm>
          <a:off x="13549015888" y="40343388"/>
          <a:ext cx="238125" cy="417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2903</v>
      </c>
    </row>
    <row r="3" spans="1:7" ht="21" x14ac:dyDescent="0.25">
      <c r="A3" s="43" t="s">
        <v>2904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2456</v>
      </c>
      <c r="E7" s="43" t="s">
        <v>2455</v>
      </c>
      <c r="F7" s="43" t="s">
        <v>2457</v>
      </c>
    </row>
    <row r="8" spans="1:7" ht="16" thickBot="1" x14ac:dyDescent="0.25"/>
    <row r="9" spans="1:7" x14ac:dyDescent="0.2">
      <c r="A9" s="212" t="s">
        <v>8</v>
      </c>
      <c r="B9" s="213"/>
      <c r="C9" s="213"/>
      <c r="D9" s="213"/>
      <c r="E9" s="213"/>
      <c r="F9" s="213"/>
      <c r="G9" s="214"/>
    </row>
    <row r="10" spans="1:7" ht="16" thickBot="1" x14ac:dyDescent="0.25">
      <c r="A10" s="217" t="s">
        <v>9</v>
      </c>
      <c r="B10" s="218"/>
      <c r="C10" s="218"/>
      <c r="D10" s="218"/>
      <c r="E10" s="218"/>
      <c r="F10" s="218"/>
      <c r="G10" s="219"/>
    </row>
    <row r="11" spans="1:7" ht="16" thickBot="1" x14ac:dyDescent="0.25"/>
    <row r="12" spans="1:7" ht="16" thickBot="1" x14ac:dyDescent="0.25">
      <c r="A12" s="66" t="s">
        <v>2458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494" t="s">
        <v>11</v>
      </c>
      <c r="C14" s="494" t="s">
        <v>12</v>
      </c>
      <c r="D14" s="494"/>
      <c r="E14" s="494"/>
      <c r="F14" s="494"/>
      <c r="G14" s="580"/>
    </row>
    <row r="15" spans="1:7" x14ac:dyDescent="0.2">
      <c r="A15" s="351">
        <v>45354</v>
      </c>
      <c r="B15" s="569">
        <v>1</v>
      </c>
      <c r="C15" s="213" t="s">
        <v>14</v>
      </c>
      <c r="D15" s="213"/>
      <c r="E15" s="213"/>
      <c r="F15" s="213"/>
      <c r="G15" s="214"/>
    </row>
    <row r="16" spans="1:7" x14ac:dyDescent="0.2">
      <c r="A16" s="322"/>
      <c r="B16" s="79"/>
      <c r="C16" s="43" t="s">
        <v>15</v>
      </c>
      <c r="G16" s="216"/>
    </row>
    <row r="17" spans="1:7" x14ac:dyDescent="0.2">
      <c r="A17" s="322"/>
      <c r="B17" s="79"/>
      <c r="C17" s="43" t="s">
        <v>16</v>
      </c>
      <c r="G17" s="216"/>
    </row>
    <row r="18" spans="1:7" x14ac:dyDescent="0.2">
      <c r="A18" s="322"/>
      <c r="B18" s="79"/>
      <c r="D18" s="43" t="s">
        <v>17</v>
      </c>
      <c r="G18" s="216"/>
    </row>
    <row r="19" spans="1:7" x14ac:dyDescent="0.2">
      <c r="A19" s="322"/>
      <c r="B19" s="79"/>
      <c r="D19" s="43" t="s">
        <v>18</v>
      </c>
      <c r="G19" s="216"/>
    </row>
    <row r="20" spans="1:7" x14ac:dyDescent="0.2">
      <c r="A20" s="322"/>
      <c r="B20" s="79"/>
      <c r="D20" s="43" t="s">
        <v>19</v>
      </c>
      <c r="G20" s="216"/>
    </row>
    <row r="21" spans="1:7" x14ac:dyDescent="0.2">
      <c r="A21" s="322"/>
      <c r="B21" s="79"/>
      <c r="C21" s="43" t="s">
        <v>20</v>
      </c>
      <c r="G21" s="216"/>
    </row>
    <row r="22" spans="1:7" x14ac:dyDescent="0.2">
      <c r="A22" s="322"/>
      <c r="B22" s="79"/>
      <c r="D22" s="43" t="s">
        <v>21</v>
      </c>
      <c r="G22" s="216"/>
    </row>
    <row r="23" spans="1:7" x14ac:dyDescent="0.2">
      <c r="A23" s="322"/>
      <c r="D23" s="43" t="s">
        <v>22</v>
      </c>
      <c r="G23" s="216"/>
    </row>
    <row r="24" spans="1:7" x14ac:dyDescent="0.2">
      <c r="A24" s="322"/>
      <c r="D24" s="43" t="s">
        <v>23</v>
      </c>
      <c r="G24" s="216"/>
    </row>
    <row r="25" spans="1:7" ht="16" thickBot="1" x14ac:dyDescent="0.25">
      <c r="A25" s="235"/>
      <c r="B25" s="218"/>
      <c r="C25" s="218"/>
      <c r="D25" s="218" t="s">
        <v>24</v>
      </c>
      <c r="E25" s="218"/>
      <c r="F25" s="218"/>
      <c r="G25" s="219"/>
    </row>
    <row r="26" spans="1:7" x14ac:dyDescent="0.2">
      <c r="A26" s="351">
        <v>45361</v>
      </c>
      <c r="B26" s="213">
        <v>2</v>
      </c>
      <c r="C26" s="213" t="s">
        <v>25</v>
      </c>
      <c r="D26" s="213"/>
      <c r="E26" s="213"/>
      <c r="F26" s="213"/>
      <c r="G26" s="214"/>
    </row>
    <row r="27" spans="1:7" x14ac:dyDescent="0.2">
      <c r="A27" s="322"/>
      <c r="C27" s="43" t="s">
        <v>26</v>
      </c>
      <c r="G27" s="216"/>
    </row>
    <row r="28" spans="1:7" x14ac:dyDescent="0.2">
      <c r="A28" s="322"/>
      <c r="C28" s="43" t="s">
        <v>27</v>
      </c>
      <c r="G28" s="216"/>
    </row>
    <row r="29" spans="1:7" x14ac:dyDescent="0.2">
      <c r="A29" s="322"/>
      <c r="G29" s="216"/>
    </row>
    <row r="30" spans="1:7" x14ac:dyDescent="0.2">
      <c r="A30" s="322"/>
      <c r="G30" s="216"/>
    </row>
    <row r="31" spans="1:7" x14ac:dyDescent="0.2">
      <c r="A31" s="322"/>
      <c r="G31" s="216"/>
    </row>
    <row r="32" spans="1:7" ht="16" thickBot="1" x14ac:dyDescent="0.25">
      <c r="A32" s="235"/>
      <c r="B32" s="218"/>
      <c r="C32" s="218"/>
      <c r="D32" s="218"/>
      <c r="E32" s="218"/>
      <c r="F32" s="218"/>
      <c r="G32" s="219"/>
    </row>
    <row r="33" spans="1:7" x14ac:dyDescent="0.2">
      <c r="A33" s="351">
        <v>45368</v>
      </c>
      <c r="B33" s="213">
        <v>3</v>
      </c>
      <c r="C33" s="213" t="s">
        <v>28</v>
      </c>
      <c r="D33" s="213"/>
      <c r="E33" s="213"/>
      <c r="F33" s="213"/>
      <c r="G33" s="214"/>
    </row>
    <row r="34" spans="1:7" x14ac:dyDescent="0.2">
      <c r="A34" s="322"/>
      <c r="C34" s="43" t="s">
        <v>29</v>
      </c>
      <c r="G34" s="216"/>
    </row>
    <row r="35" spans="1:7" x14ac:dyDescent="0.2">
      <c r="A35" s="322"/>
      <c r="C35" s="43" t="s">
        <v>31</v>
      </c>
      <c r="G35" s="216"/>
    </row>
    <row r="36" spans="1:7" x14ac:dyDescent="0.2">
      <c r="A36" s="322"/>
      <c r="C36" s="43" t="s">
        <v>32</v>
      </c>
      <c r="G36" s="216"/>
    </row>
    <row r="37" spans="1:7" x14ac:dyDescent="0.2">
      <c r="A37" s="322"/>
      <c r="C37" s="43" t="s">
        <v>33</v>
      </c>
      <c r="G37" s="216"/>
    </row>
    <row r="38" spans="1:7" ht="16" thickBot="1" x14ac:dyDescent="0.25">
      <c r="A38" s="235"/>
      <c r="B38" s="218"/>
      <c r="C38" s="218"/>
      <c r="D38" s="218"/>
      <c r="E38" s="218"/>
      <c r="F38" s="218"/>
      <c r="G38" s="219"/>
    </row>
    <row r="39" spans="1:7" x14ac:dyDescent="0.2">
      <c r="A39" s="351">
        <v>45382</v>
      </c>
      <c r="B39" s="213">
        <v>4</v>
      </c>
      <c r="C39" s="213" t="s">
        <v>35</v>
      </c>
      <c r="D39" s="213"/>
      <c r="E39" s="213"/>
      <c r="F39" s="213"/>
      <c r="G39" s="214"/>
    </row>
    <row r="40" spans="1:7" x14ac:dyDescent="0.2">
      <c r="A40" s="322"/>
      <c r="C40" s="43" t="s">
        <v>36</v>
      </c>
      <c r="G40" s="216"/>
    </row>
    <row r="41" spans="1:7" ht="16" thickBot="1" x14ac:dyDescent="0.25">
      <c r="A41" s="235"/>
      <c r="B41" s="218"/>
      <c r="C41" s="218" t="s">
        <v>37</v>
      </c>
      <c r="D41" s="218"/>
      <c r="E41" s="218"/>
      <c r="F41" s="218"/>
      <c r="G41" s="219"/>
    </row>
    <row r="42" spans="1:7" x14ac:dyDescent="0.2">
      <c r="A42" s="351"/>
      <c r="B42" s="213">
        <v>5</v>
      </c>
      <c r="C42" s="213" t="s">
        <v>38</v>
      </c>
      <c r="D42" s="213"/>
      <c r="E42" s="213"/>
      <c r="F42" s="213"/>
      <c r="G42" s="213"/>
    </row>
    <row r="43" spans="1:7" x14ac:dyDescent="0.2">
      <c r="A43" s="322"/>
    </row>
    <row r="44" spans="1:7" x14ac:dyDescent="0.2">
      <c r="A44" s="322"/>
    </row>
    <row r="45" spans="1:7" ht="16" thickBot="1" x14ac:dyDescent="0.25">
      <c r="A45" s="235"/>
      <c r="B45" s="218"/>
      <c r="C45" s="218"/>
      <c r="D45" s="218"/>
      <c r="E45" s="218"/>
      <c r="F45" s="218"/>
      <c r="G45" s="218"/>
    </row>
    <row r="46" spans="1:7" x14ac:dyDescent="0.2">
      <c r="A46" s="351"/>
      <c r="B46" s="213">
        <v>6</v>
      </c>
      <c r="C46" s="213" t="s">
        <v>39</v>
      </c>
      <c r="D46" s="213"/>
      <c r="E46" s="213"/>
      <c r="F46" s="213"/>
      <c r="G46" s="213"/>
    </row>
    <row r="47" spans="1:7" x14ac:dyDescent="0.2">
      <c r="A47" s="322"/>
    </row>
    <row r="48" spans="1:7" ht="16" thickBot="1" x14ac:dyDescent="0.25">
      <c r="A48" s="235"/>
      <c r="B48" s="218"/>
      <c r="C48" s="218"/>
      <c r="D48" s="218"/>
      <c r="E48" s="218"/>
      <c r="F48" s="218"/>
      <c r="G48" s="218"/>
    </row>
    <row r="49" spans="1:7" x14ac:dyDescent="0.2">
      <c r="A49" s="351"/>
      <c r="B49" s="213">
        <v>7</v>
      </c>
      <c r="C49" s="213" t="s">
        <v>40</v>
      </c>
      <c r="D49" s="213"/>
      <c r="E49" s="213"/>
      <c r="F49" s="213"/>
      <c r="G49" s="213"/>
    </row>
    <row r="50" spans="1:7" x14ac:dyDescent="0.2">
      <c r="A50" s="322"/>
    </row>
    <row r="51" spans="1:7" ht="16" thickBot="1" x14ac:dyDescent="0.25">
      <c r="A51" s="322"/>
    </row>
    <row r="52" spans="1:7" x14ac:dyDescent="0.2">
      <c r="A52" s="351"/>
      <c r="B52" s="213">
        <v>8</v>
      </c>
      <c r="C52" s="213" t="s">
        <v>41</v>
      </c>
      <c r="D52" s="213"/>
      <c r="E52" s="213"/>
      <c r="F52" s="213"/>
      <c r="G52" s="213"/>
    </row>
    <row r="53" spans="1:7" ht="16" thickBot="1" x14ac:dyDescent="0.25">
      <c r="A53" s="517"/>
      <c r="B53" s="218"/>
      <c r="C53" s="218" t="s">
        <v>42</v>
      </c>
      <c r="D53" s="218"/>
      <c r="E53" s="218"/>
      <c r="F53" s="218"/>
      <c r="G53" s="218"/>
    </row>
    <row r="54" spans="1:7" ht="16" thickBot="1" x14ac:dyDescent="0.25">
      <c r="A54" s="541"/>
      <c r="B54" s="43">
        <v>9</v>
      </c>
      <c r="C54" s="43" t="s">
        <v>43</v>
      </c>
    </row>
    <row r="55" spans="1:7" x14ac:dyDescent="0.2">
      <c r="A55" s="351"/>
      <c r="B55" s="213">
        <v>10</v>
      </c>
      <c r="C55" s="213" t="s">
        <v>44</v>
      </c>
      <c r="D55" s="213"/>
      <c r="E55" s="213"/>
      <c r="F55" s="213"/>
      <c r="G55" s="213"/>
    </row>
    <row r="56" spans="1:7" ht="16" thickBot="1" x14ac:dyDescent="0.25">
      <c r="A56" s="541"/>
    </row>
    <row r="57" spans="1:7" x14ac:dyDescent="0.2">
      <c r="A57" s="351"/>
      <c r="B57" s="213">
        <v>11</v>
      </c>
      <c r="C57" s="213" t="s">
        <v>45</v>
      </c>
      <c r="D57" s="213"/>
      <c r="E57" s="213"/>
      <c r="F57" s="213"/>
      <c r="G57" s="213"/>
    </row>
    <row r="58" spans="1:7" ht="16" thickBot="1" x14ac:dyDescent="0.25">
      <c r="A58" s="517"/>
      <c r="B58" s="218"/>
      <c r="C58" s="218"/>
      <c r="D58" s="218"/>
      <c r="E58" s="218"/>
      <c r="F58" s="218"/>
      <c r="G58" s="218"/>
    </row>
    <row r="59" spans="1:7" ht="16" thickBot="1" x14ac:dyDescent="0.25">
      <c r="A59" s="517"/>
      <c r="B59" s="218">
        <v>12</v>
      </c>
      <c r="C59" s="218" t="s">
        <v>46</v>
      </c>
      <c r="D59" s="218"/>
      <c r="E59" s="218"/>
      <c r="F59" s="218"/>
      <c r="G59" s="218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J320"/>
  <sheetViews>
    <sheetView showGridLines="0" rightToLeft="1" tabSelected="1" topLeftCell="A158" zoomScale="304" zoomScaleNormal="260" workbookViewId="0">
      <selection activeCell="G168" sqref="G168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30" t="s">
        <v>3376</v>
      </c>
      <c r="B1" s="730"/>
      <c r="C1" s="730"/>
      <c r="D1" s="730"/>
      <c r="E1" s="730"/>
      <c r="F1" s="730"/>
      <c r="G1" s="730"/>
      <c r="H1" s="730"/>
    </row>
    <row r="3" spans="1:8" ht="16" thickBot="1" x14ac:dyDescent="0.25">
      <c r="A3" s="179" t="s">
        <v>1710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3" t="s">
        <v>1711</v>
      </c>
      <c r="B4" s="213"/>
      <c r="C4" s="213"/>
      <c r="D4" s="213"/>
      <c r="E4" s="213"/>
      <c r="F4" s="213"/>
      <c r="G4" s="213"/>
      <c r="H4" s="214"/>
    </row>
    <row r="5" spans="1:8" x14ac:dyDescent="0.2">
      <c r="A5" s="322" t="s">
        <v>1712</v>
      </c>
      <c r="H5" s="216"/>
    </row>
    <row r="6" spans="1:8" x14ac:dyDescent="0.2">
      <c r="A6" s="322" t="s">
        <v>1713</v>
      </c>
      <c r="H6" s="216"/>
    </row>
    <row r="7" spans="1:8" x14ac:dyDescent="0.2">
      <c r="A7" s="322"/>
      <c r="H7" s="216"/>
    </row>
    <row r="8" spans="1:8" x14ac:dyDescent="0.2">
      <c r="A8" s="322" t="s">
        <v>1714</v>
      </c>
      <c r="H8" s="216"/>
    </row>
    <row r="9" spans="1:8" x14ac:dyDescent="0.2">
      <c r="A9" s="322" t="s">
        <v>1715</v>
      </c>
      <c r="H9" s="216"/>
    </row>
    <row r="10" spans="1:8" x14ac:dyDescent="0.2">
      <c r="A10" s="322"/>
      <c r="H10" s="216"/>
    </row>
    <row r="11" spans="1:8" x14ac:dyDescent="0.2">
      <c r="A11" s="322" t="s">
        <v>1716</v>
      </c>
      <c r="B11" s="221" t="s">
        <v>2902</v>
      </c>
      <c r="H11" s="216"/>
    </row>
    <row r="12" spans="1:8" x14ac:dyDescent="0.2">
      <c r="A12" s="322"/>
      <c r="H12" s="216"/>
    </row>
    <row r="13" spans="1:8" x14ac:dyDescent="0.2">
      <c r="A13" s="322" t="s">
        <v>1717</v>
      </c>
      <c r="H13" s="216"/>
    </row>
    <row r="14" spans="1:8" ht="16" thickBot="1" x14ac:dyDescent="0.25">
      <c r="A14" s="235" t="s">
        <v>1718</v>
      </c>
      <c r="B14" s="218"/>
      <c r="C14" s="218"/>
      <c r="D14" s="218"/>
      <c r="E14" s="218"/>
      <c r="F14" s="218"/>
      <c r="G14" s="218"/>
      <c r="H14" s="219"/>
    </row>
    <row r="15" spans="1:8" ht="16" thickBot="1" x14ac:dyDescent="0.25"/>
    <row r="16" spans="1:8" x14ac:dyDescent="0.2">
      <c r="A16" s="323" t="s">
        <v>1719</v>
      </c>
      <c r="B16" s="213"/>
      <c r="C16" s="213"/>
      <c r="D16" s="213"/>
      <c r="E16" s="213"/>
      <c r="F16" s="213"/>
      <c r="G16" s="213"/>
      <c r="H16" s="214"/>
    </row>
    <row r="17" spans="1:8" ht="16" thickBot="1" x14ac:dyDescent="0.25">
      <c r="A17" s="235" t="s">
        <v>1720</v>
      </c>
      <c r="B17" s="218"/>
      <c r="C17" s="218"/>
      <c r="D17" s="218"/>
      <c r="E17" s="218"/>
      <c r="F17" s="218"/>
      <c r="G17" s="218"/>
      <c r="H17" s="219"/>
    </row>
    <row r="19" spans="1:8" x14ac:dyDescent="0.2">
      <c r="A19" s="43" t="s">
        <v>1721</v>
      </c>
    </row>
    <row r="20" spans="1:8" x14ac:dyDescent="0.2">
      <c r="A20" s="43" t="s">
        <v>1722</v>
      </c>
    </row>
    <row r="22" spans="1:8" x14ac:dyDescent="0.2">
      <c r="A22" s="43" t="s">
        <v>65</v>
      </c>
    </row>
    <row r="23" spans="1:8" x14ac:dyDescent="0.2">
      <c r="A23" s="47" t="s">
        <v>1723</v>
      </c>
      <c r="B23" s="43" t="s">
        <v>1724</v>
      </c>
    </row>
    <row r="24" spans="1:8" x14ac:dyDescent="0.2">
      <c r="A24" s="47" t="s">
        <v>1725</v>
      </c>
      <c r="B24" s="43" t="s">
        <v>1726</v>
      </c>
    </row>
    <row r="25" spans="1:8" x14ac:dyDescent="0.2">
      <c r="A25" s="202" t="s">
        <v>1727</v>
      </c>
      <c r="B25" s="43" t="s">
        <v>1728</v>
      </c>
    </row>
    <row r="27" spans="1:8" ht="18" x14ac:dyDescent="0.2">
      <c r="A27" s="647" t="s">
        <v>3377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2847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2848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1729</v>
      </c>
    </row>
    <row r="32" spans="1:8" x14ac:dyDescent="0.2">
      <c r="B32" s="59" t="s">
        <v>1134</v>
      </c>
      <c r="C32" s="59" t="s">
        <v>1730</v>
      </c>
    </row>
    <row r="33" spans="1:6" x14ac:dyDescent="0.2">
      <c r="A33" s="43" t="s">
        <v>2853</v>
      </c>
      <c r="B33" s="43" t="s">
        <v>1731</v>
      </c>
      <c r="C33" s="43">
        <v>100</v>
      </c>
      <c r="E33" s="201"/>
    </row>
    <row r="34" spans="1:6" x14ac:dyDescent="0.2">
      <c r="A34" s="43" t="s">
        <v>2849</v>
      </c>
      <c r="B34" s="43" t="s">
        <v>1732</v>
      </c>
      <c r="C34" s="43">
        <v>120</v>
      </c>
    </row>
    <row r="35" spans="1:6" x14ac:dyDescent="0.2">
      <c r="A35" s="43" t="s">
        <v>2850</v>
      </c>
      <c r="B35" s="43" t="s">
        <v>1733</v>
      </c>
      <c r="C35" s="43">
        <v>110</v>
      </c>
    </row>
    <row r="36" spans="1:6" x14ac:dyDescent="0.2">
      <c r="A36" s="43" t="s">
        <v>2851</v>
      </c>
      <c r="B36" s="43" t="s">
        <v>1734</v>
      </c>
      <c r="C36" s="43">
        <v>121</v>
      </c>
    </row>
    <row r="37" spans="1:6" x14ac:dyDescent="0.2">
      <c r="A37" s="43" t="s">
        <v>2852</v>
      </c>
      <c r="B37" s="43" t="s">
        <v>1735</v>
      </c>
      <c r="C37" s="43">
        <v>121</v>
      </c>
    </row>
    <row r="39" spans="1:6" x14ac:dyDescent="0.2">
      <c r="A39" s="43" t="s">
        <v>1736</v>
      </c>
    </row>
    <row r="40" spans="1:6" x14ac:dyDescent="0.2">
      <c r="A40" s="43" t="s">
        <v>2855</v>
      </c>
    </row>
    <row r="42" spans="1:6" x14ac:dyDescent="0.2">
      <c r="A42" s="44" t="s">
        <v>1737</v>
      </c>
    </row>
    <row r="43" spans="1:6" x14ac:dyDescent="0.2">
      <c r="A43" s="43" t="s">
        <v>2854</v>
      </c>
    </row>
    <row r="44" spans="1:6" x14ac:dyDescent="0.2">
      <c r="A44" s="44"/>
    </row>
    <row r="45" spans="1:6" x14ac:dyDescent="0.2">
      <c r="A45" s="648"/>
    </row>
    <row r="46" spans="1:6" x14ac:dyDescent="0.2">
      <c r="A46" s="44"/>
    </row>
    <row r="47" spans="1:6" x14ac:dyDescent="0.2">
      <c r="B47" s="49" t="s">
        <v>1134</v>
      </c>
      <c r="C47" s="49" t="s">
        <v>1730</v>
      </c>
      <c r="D47" s="49" t="s">
        <v>1738</v>
      </c>
      <c r="F47" s="43" t="s">
        <v>1739</v>
      </c>
    </row>
    <row r="48" spans="1:6" x14ac:dyDescent="0.2">
      <c r="B48" s="47" t="s">
        <v>1731</v>
      </c>
      <c r="C48" s="47">
        <v>100</v>
      </c>
      <c r="D48" s="47"/>
      <c r="F48" s="43" t="s">
        <v>1740</v>
      </c>
    </row>
    <row r="49" spans="1:9" x14ac:dyDescent="0.2">
      <c r="B49" s="47" t="s">
        <v>1732</v>
      </c>
      <c r="C49" s="47">
        <v>120</v>
      </c>
      <c r="D49" s="203">
        <f>C49/C48-1</f>
        <v>0.19999999999999996</v>
      </c>
      <c r="F49" s="43" t="s">
        <v>1741</v>
      </c>
    </row>
    <row r="50" spans="1:9" x14ac:dyDescent="0.2">
      <c r="B50" s="47" t="s">
        <v>1733</v>
      </c>
      <c r="C50" s="47">
        <v>110</v>
      </c>
      <c r="D50" s="203">
        <f>C50/C49-1</f>
        <v>-8.333333333333337E-2</v>
      </c>
      <c r="F50" s="43" t="s">
        <v>1742</v>
      </c>
    </row>
    <row r="51" spans="1:9" x14ac:dyDescent="0.2">
      <c r="B51" s="47" t="s">
        <v>1734</v>
      </c>
      <c r="C51" s="47">
        <v>121</v>
      </c>
      <c r="D51" s="203">
        <f>C51/C50-1</f>
        <v>0.10000000000000009</v>
      </c>
      <c r="F51" s="43" t="s">
        <v>1743</v>
      </c>
    </row>
    <row r="52" spans="1:9" x14ac:dyDescent="0.2">
      <c r="B52" s="47" t="s">
        <v>1735</v>
      </c>
      <c r="C52" s="47">
        <v>121</v>
      </c>
      <c r="D52" s="203">
        <f t="shared" ref="D52" si="0">C52/C51-1</f>
        <v>0</v>
      </c>
      <c r="F52" s="43" t="s">
        <v>1744</v>
      </c>
    </row>
    <row r="54" spans="1:9" x14ac:dyDescent="0.2">
      <c r="A54" s="44" t="s">
        <v>1745</v>
      </c>
    </row>
    <row r="55" spans="1:9" x14ac:dyDescent="0.2">
      <c r="A55" s="44"/>
      <c r="D55" s="47" t="s">
        <v>1738</v>
      </c>
      <c r="E55" s="47" t="s">
        <v>1738</v>
      </c>
    </row>
    <row r="56" spans="1:9" x14ac:dyDescent="0.2">
      <c r="A56" s="44"/>
      <c r="B56" s="49" t="s">
        <v>1134</v>
      </c>
      <c r="C56" s="49" t="s">
        <v>1730</v>
      </c>
      <c r="D56" s="49" t="s">
        <v>1746</v>
      </c>
      <c r="E56" s="49" t="s">
        <v>2857</v>
      </c>
    </row>
    <row r="57" spans="1:9" x14ac:dyDescent="0.2">
      <c r="A57" s="44"/>
      <c r="B57" s="47" t="s">
        <v>1731</v>
      </c>
      <c r="C57" s="47">
        <v>100</v>
      </c>
      <c r="D57" s="204"/>
      <c r="E57" s="204"/>
      <c r="H57" s="43" t="s">
        <v>2858</v>
      </c>
    </row>
    <row r="58" spans="1:9" x14ac:dyDescent="0.2">
      <c r="A58" s="44"/>
      <c r="B58" s="47" t="s">
        <v>1732</v>
      </c>
      <c r="C58" s="47">
        <v>120</v>
      </c>
      <c r="D58" s="152">
        <f>C58/C57-1</f>
        <v>0.19999999999999996</v>
      </c>
      <c r="E58" s="525">
        <f>D58+1</f>
        <v>1.2</v>
      </c>
      <c r="F58" s="43" t="s">
        <v>3378</v>
      </c>
    </row>
    <row r="59" spans="1:9" x14ac:dyDescent="0.2">
      <c r="A59" s="44"/>
      <c r="B59" s="47" t="s">
        <v>1733</v>
      </c>
      <c r="C59" s="47">
        <v>110</v>
      </c>
      <c r="D59" s="152">
        <f>C59/C58-1</f>
        <v>-8.333333333333337E-2</v>
      </c>
      <c r="E59" s="525">
        <f>D59+1</f>
        <v>0.91666666666666663</v>
      </c>
      <c r="F59" s="43" t="s">
        <v>3379</v>
      </c>
    </row>
    <row r="60" spans="1:9" x14ac:dyDescent="0.2">
      <c r="A60" s="44"/>
      <c r="B60" s="47" t="s">
        <v>1734</v>
      </c>
      <c r="C60" s="47">
        <v>121</v>
      </c>
      <c r="D60" s="152">
        <f>C60/C59-1</f>
        <v>0.10000000000000009</v>
      </c>
      <c r="E60" s="525">
        <f>D60+1</f>
        <v>1.1000000000000001</v>
      </c>
      <c r="G60" s="43" t="s">
        <v>1747</v>
      </c>
    </row>
    <row r="61" spans="1:9" x14ac:dyDescent="0.2">
      <c r="B61" s="47" t="s">
        <v>1735</v>
      </c>
      <c r="C61" s="47">
        <v>121</v>
      </c>
      <c r="D61" s="152">
        <f>C61/C60-1</f>
        <v>0</v>
      </c>
      <c r="E61" s="525">
        <f>D61+1</f>
        <v>1</v>
      </c>
      <c r="G61" s="526">
        <f>PRODUCT(E58:E61)-1</f>
        <v>0.20999999999999996</v>
      </c>
      <c r="I61" s="454" t="s">
        <v>3380</v>
      </c>
    </row>
    <row r="63" spans="1:9" x14ac:dyDescent="0.2">
      <c r="A63" s="43" t="s">
        <v>1748</v>
      </c>
    </row>
    <row r="64" spans="1:9" x14ac:dyDescent="0.2">
      <c r="A64" s="43" t="s">
        <v>1749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2856</v>
      </c>
    </row>
    <row r="67" spans="1:8" x14ac:dyDescent="0.2">
      <c r="A67" s="43" t="s">
        <v>1750</v>
      </c>
    </row>
    <row r="68" spans="1:8" x14ac:dyDescent="0.2">
      <c r="A68" s="43" t="s">
        <v>1751</v>
      </c>
    </row>
    <row r="69" spans="1:8" x14ac:dyDescent="0.2">
      <c r="C69" s="206">
        <f>C61/C57-1</f>
        <v>0.20999999999999996</v>
      </c>
      <c r="F69" s="43" t="s">
        <v>1752</v>
      </c>
    </row>
    <row r="71" spans="1:8" x14ac:dyDescent="0.2">
      <c r="A71" s="180" t="s">
        <v>3381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1753</v>
      </c>
    </row>
    <row r="73" spans="1:8" x14ac:dyDescent="0.2">
      <c r="A73" s="43" t="s">
        <v>1754</v>
      </c>
    </row>
    <row r="74" spans="1:8" x14ac:dyDescent="0.2">
      <c r="A74" s="43" t="s">
        <v>1755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2859</v>
      </c>
    </row>
    <row r="78" spans="1:8" x14ac:dyDescent="0.2">
      <c r="A78" s="44"/>
    </row>
    <row r="79" spans="1:8" x14ac:dyDescent="0.2">
      <c r="A79" s="44" t="s">
        <v>2860</v>
      </c>
    </row>
    <row r="80" spans="1:8" x14ac:dyDescent="0.2">
      <c r="A80" s="44" t="s">
        <v>2861</v>
      </c>
    </row>
    <row r="81" spans="1:8" x14ac:dyDescent="0.2">
      <c r="A81" s="44"/>
    </row>
    <row r="82" spans="1:8" x14ac:dyDescent="0.2">
      <c r="A82" s="43" t="s">
        <v>2862</v>
      </c>
    </row>
    <row r="83" spans="1:8" x14ac:dyDescent="0.2">
      <c r="A83" s="44"/>
    </row>
    <row r="84" spans="1:8" x14ac:dyDescent="0.2">
      <c r="A84" s="44"/>
      <c r="H84" s="43" t="s">
        <v>3386</v>
      </c>
    </row>
    <row r="85" spans="1:8" x14ac:dyDescent="0.2">
      <c r="A85" s="44"/>
      <c r="D85" s="649">
        <f>105.7/103.1-1</f>
        <v>2.5218234723569433E-2</v>
      </c>
      <c r="H85" s="43" t="s">
        <v>3387</v>
      </c>
    </row>
    <row r="86" spans="1:8" x14ac:dyDescent="0.2">
      <c r="A86" s="44"/>
      <c r="H86" s="43" t="s">
        <v>3389</v>
      </c>
    </row>
    <row r="87" spans="1:8" x14ac:dyDescent="0.2">
      <c r="A87" s="44"/>
      <c r="H87" s="43" t="s">
        <v>3388</v>
      </c>
    </row>
    <row r="88" spans="1:8" x14ac:dyDescent="0.2">
      <c r="A88" s="43" t="s">
        <v>3390</v>
      </c>
    </row>
    <row r="89" spans="1:8" x14ac:dyDescent="0.2">
      <c r="A89" s="44"/>
      <c r="D89" s="43" t="s">
        <v>2864</v>
      </c>
      <c r="F89" s="43" t="s">
        <v>2863</v>
      </c>
      <c r="H89" s="43" t="s">
        <v>3391</v>
      </c>
    </row>
    <row r="90" spans="1:8" x14ac:dyDescent="0.2">
      <c r="A90" s="44"/>
      <c r="H90" s="43" t="s">
        <v>3392</v>
      </c>
    </row>
    <row r="91" spans="1:8" x14ac:dyDescent="0.2">
      <c r="A91" s="44"/>
      <c r="H91" s="43" t="s">
        <v>3393</v>
      </c>
    </row>
    <row r="92" spans="1:8" x14ac:dyDescent="0.2">
      <c r="A92" s="43" t="s">
        <v>2865</v>
      </c>
    </row>
    <row r="93" spans="1:8" x14ac:dyDescent="0.2">
      <c r="A93" s="44"/>
      <c r="D93" s="650">
        <f>105000*(1+D85)</f>
        <v>107647.91464597479</v>
      </c>
      <c r="F93" s="43" t="s">
        <v>2866</v>
      </c>
      <c r="H93" s="43" t="s">
        <v>3394</v>
      </c>
    </row>
    <row r="94" spans="1:8" x14ac:dyDescent="0.2">
      <c r="A94" s="44"/>
    </row>
    <row r="95" spans="1:8" x14ac:dyDescent="0.2">
      <c r="A95" s="44"/>
      <c r="F95" s="43" t="s">
        <v>3383</v>
      </c>
    </row>
    <row r="96" spans="1:8" x14ac:dyDescent="0.2">
      <c r="A96" s="44" t="s">
        <v>2867</v>
      </c>
      <c r="G96" s="47" t="s">
        <v>3382</v>
      </c>
    </row>
    <row r="97" spans="1:8" s="290" customFormat="1" x14ac:dyDescent="0.2">
      <c r="A97" s="528"/>
      <c r="B97" s="527"/>
      <c r="C97" s="527"/>
      <c r="D97" s="651">
        <f>D93</f>
        <v>107647.91464597479</v>
      </c>
      <c r="E97" s="527"/>
      <c r="F97" s="527"/>
      <c r="G97" s="527"/>
    </row>
    <row r="98" spans="1:8" x14ac:dyDescent="0.2">
      <c r="A98" s="443" t="s">
        <v>1756</v>
      </c>
      <c r="B98" s="443"/>
      <c r="C98" s="443"/>
      <c r="D98" s="443"/>
      <c r="E98" s="443"/>
      <c r="F98" s="443"/>
      <c r="G98" s="443"/>
      <c r="H98" s="443"/>
    </row>
    <row r="99" spans="1:8" x14ac:dyDescent="0.2">
      <c r="A99" s="443"/>
      <c r="B99" s="443"/>
      <c r="C99" s="443"/>
      <c r="D99" s="443"/>
      <c r="E99" s="290" t="s">
        <v>3384</v>
      </c>
      <c r="F99" s="443"/>
      <c r="G99" s="443"/>
      <c r="H99" s="443"/>
    </row>
    <row r="100" spans="1:8" x14ac:dyDescent="0.2">
      <c r="A100" s="443"/>
      <c r="B100" s="443"/>
      <c r="C100" s="443"/>
      <c r="D100" s="443"/>
      <c r="E100" s="290" t="s">
        <v>3385</v>
      </c>
      <c r="F100" s="443"/>
      <c r="G100" s="443"/>
      <c r="H100" s="443"/>
    </row>
    <row r="101" spans="1:8" x14ac:dyDescent="0.2">
      <c r="A101" s="443"/>
      <c r="B101" s="443"/>
      <c r="C101" s="443"/>
      <c r="D101" s="443"/>
      <c r="E101" s="443"/>
      <c r="F101" s="443"/>
      <c r="G101" s="443"/>
      <c r="H101" s="443"/>
    </row>
    <row r="102" spans="1:8" x14ac:dyDescent="0.2">
      <c r="A102" s="527" t="s">
        <v>2868</v>
      </c>
      <c r="B102" s="652"/>
      <c r="C102" s="652"/>
      <c r="D102" s="652"/>
      <c r="E102" s="652"/>
      <c r="F102" s="652"/>
      <c r="G102" s="443"/>
      <c r="H102" s="443"/>
    </row>
    <row r="103" spans="1:8" x14ac:dyDescent="0.2">
      <c r="A103" s="527" t="s">
        <v>2869</v>
      </c>
      <c r="B103" s="652"/>
      <c r="C103" s="652"/>
      <c r="D103" s="652"/>
      <c r="E103" s="652"/>
      <c r="F103" s="652"/>
      <c r="G103" s="443"/>
      <c r="H103" s="443"/>
    </row>
    <row r="104" spans="1:8" x14ac:dyDescent="0.2">
      <c r="A104" s="290"/>
      <c r="B104" s="443"/>
      <c r="C104" s="443"/>
      <c r="D104" s="443"/>
      <c r="E104" s="443"/>
      <c r="F104" s="443"/>
      <c r="G104" s="443"/>
      <c r="H104" s="443"/>
    </row>
    <row r="106" spans="1:8" ht="18" x14ac:dyDescent="0.2">
      <c r="A106" s="647" t="s">
        <v>1757</v>
      </c>
      <c r="B106" s="180"/>
      <c r="C106" s="180"/>
      <c r="D106" s="180"/>
      <c r="E106" s="180"/>
      <c r="F106" s="180"/>
      <c r="G106" s="180"/>
      <c r="H106" s="180"/>
    </row>
    <row r="107" spans="1:8" x14ac:dyDescent="0.2">
      <c r="A107" s="180" t="s">
        <v>2870</v>
      </c>
      <c r="B107" s="180"/>
      <c r="C107" s="180"/>
      <c r="D107" s="180"/>
      <c r="E107" s="180"/>
      <c r="F107" s="180"/>
      <c r="G107" s="180"/>
      <c r="H107" s="180"/>
    </row>
    <row r="108" spans="1:8" x14ac:dyDescent="0.2">
      <c r="A108" s="180" t="s">
        <v>2871</v>
      </c>
      <c r="B108" s="180"/>
      <c r="C108" s="180"/>
      <c r="D108" s="180"/>
      <c r="E108" s="180"/>
      <c r="F108" s="180"/>
      <c r="G108" s="180"/>
      <c r="H108" s="180"/>
    </row>
    <row r="109" spans="1:8" x14ac:dyDescent="0.2">
      <c r="A109" s="180" t="s">
        <v>2872</v>
      </c>
      <c r="B109" s="180"/>
      <c r="C109" s="180"/>
      <c r="D109" s="180"/>
      <c r="E109" s="180"/>
      <c r="F109" s="180"/>
      <c r="G109" s="180"/>
      <c r="H109" s="180"/>
    </row>
    <row r="110" spans="1:8" x14ac:dyDescent="0.2">
      <c r="A110" s="43" t="s">
        <v>1758</v>
      </c>
    </row>
    <row r="111" spans="1:8" x14ac:dyDescent="0.2">
      <c r="A111" s="43" t="s">
        <v>1759</v>
      </c>
    </row>
    <row r="112" spans="1:8" x14ac:dyDescent="0.2">
      <c r="A112" s="43" t="s">
        <v>1760</v>
      </c>
    </row>
    <row r="114" spans="1:8" x14ac:dyDescent="0.2">
      <c r="A114" s="43" t="s">
        <v>321</v>
      </c>
    </row>
    <row r="115" spans="1:8" x14ac:dyDescent="0.2">
      <c r="A115" s="43" t="s">
        <v>2875</v>
      </c>
    </row>
    <row r="117" spans="1:8" x14ac:dyDescent="0.2">
      <c r="A117" s="43" t="s">
        <v>111</v>
      </c>
    </row>
    <row r="118" spans="1:8" x14ac:dyDescent="0.2">
      <c r="A118" s="43" t="s">
        <v>1761</v>
      </c>
    </row>
    <row r="119" spans="1:8" x14ac:dyDescent="0.2">
      <c r="A119" s="79" t="s">
        <v>1762</v>
      </c>
      <c r="B119" s="44"/>
      <c r="C119" s="44"/>
      <c r="D119" s="44"/>
      <c r="E119" s="44"/>
      <c r="F119" s="44"/>
      <c r="G119" s="44"/>
      <c r="H119" s="44"/>
    </row>
    <row r="120" spans="1:8" x14ac:dyDescent="0.2">
      <c r="A120" s="44" t="s">
        <v>1763</v>
      </c>
      <c r="B120" s="44"/>
      <c r="C120" s="44"/>
      <c r="D120" s="44"/>
      <c r="E120" s="44"/>
      <c r="F120" s="44"/>
      <c r="G120" s="44"/>
      <c r="H120" s="44"/>
    </row>
    <row r="121" spans="1:8" x14ac:dyDescent="0.2">
      <c r="A121" s="44"/>
      <c r="B121" s="44"/>
      <c r="C121" s="44"/>
      <c r="D121" s="44"/>
      <c r="E121" s="44"/>
      <c r="F121" s="44"/>
      <c r="G121" s="44"/>
      <c r="H121" s="44"/>
    </row>
    <row r="122" spans="1:8" x14ac:dyDescent="0.2">
      <c r="A122" s="43" t="s">
        <v>1764</v>
      </c>
    </row>
    <row r="123" spans="1:8" x14ac:dyDescent="0.2">
      <c r="A123" s="43" t="s">
        <v>1765</v>
      </c>
    </row>
    <row r="125" spans="1:8" x14ac:dyDescent="0.2">
      <c r="A125" s="43" t="s">
        <v>1766</v>
      </c>
    </row>
    <row r="126" spans="1:8" x14ac:dyDescent="0.2">
      <c r="A126" s="44" t="s">
        <v>1767</v>
      </c>
      <c r="B126" s="44"/>
      <c r="C126" s="44"/>
      <c r="D126" s="44"/>
      <c r="E126" s="44"/>
    </row>
    <row r="127" spans="1:8" x14ac:dyDescent="0.2">
      <c r="H127" s="43" t="s">
        <v>3395</v>
      </c>
    </row>
    <row r="130" spans="1:10" x14ac:dyDescent="0.2">
      <c r="H130" s="43" t="s">
        <v>3396</v>
      </c>
    </row>
    <row r="133" spans="1:10" x14ac:dyDescent="0.2">
      <c r="H133" s="43" t="s">
        <v>3397</v>
      </c>
    </row>
    <row r="134" spans="1:10" x14ac:dyDescent="0.2">
      <c r="H134" s="43" t="s">
        <v>3398</v>
      </c>
    </row>
    <row r="136" spans="1:10" x14ac:dyDescent="0.2">
      <c r="A136" s="43" t="s">
        <v>2873</v>
      </c>
      <c r="H136" s="44" t="s">
        <v>3399</v>
      </c>
    </row>
    <row r="137" spans="1:10" x14ac:dyDescent="0.2">
      <c r="A137" s="43" t="s">
        <v>2874</v>
      </c>
      <c r="H137" s="44" t="s">
        <v>3400</v>
      </c>
      <c r="I137" s="44"/>
      <c r="J137" s="44"/>
    </row>
    <row r="138" spans="1:10" x14ac:dyDescent="0.2">
      <c r="H138" s="44" t="s">
        <v>3401</v>
      </c>
      <c r="I138" s="44"/>
      <c r="J138" s="44"/>
    </row>
    <row r="139" spans="1:10" x14ac:dyDescent="0.2">
      <c r="A139" s="44" t="s">
        <v>1768</v>
      </c>
    </row>
    <row r="141" spans="1:10" x14ac:dyDescent="0.2">
      <c r="A141" s="44" t="s">
        <v>1769</v>
      </c>
    </row>
    <row r="142" spans="1:10" x14ac:dyDescent="0.2">
      <c r="A142" s="43" t="s">
        <v>3402</v>
      </c>
    </row>
    <row r="143" spans="1:10" x14ac:dyDescent="0.2">
      <c r="A143" s="43" t="s">
        <v>3403</v>
      </c>
    </row>
    <row r="144" spans="1:10" x14ac:dyDescent="0.2">
      <c r="A144" s="43" t="s">
        <v>3404</v>
      </c>
    </row>
    <row r="145" spans="1:9" x14ac:dyDescent="0.2">
      <c r="A145" s="43" t="s">
        <v>3405</v>
      </c>
    </row>
    <row r="147" spans="1:9" x14ac:dyDescent="0.2">
      <c r="A147" s="180" t="s">
        <v>1770</v>
      </c>
      <c r="B147" s="180"/>
      <c r="C147" s="180"/>
      <c r="D147" s="180"/>
      <c r="E147" s="180"/>
      <c r="F147" s="180"/>
      <c r="G147" s="180"/>
      <c r="H147" s="180"/>
    </row>
    <row r="148" spans="1:9" x14ac:dyDescent="0.2">
      <c r="A148" s="43" t="s">
        <v>1771</v>
      </c>
    </row>
    <row r="149" spans="1:9" x14ac:dyDescent="0.2">
      <c r="A149" s="43" t="s">
        <v>1772</v>
      </c>
    </row>
    <row r="150" spans="1:9" x14ac:dyDescent="0.2">
      <c r="A150" s="43" t="s">
        <v>1773</v>
      </c>
    </row>
    <row r="151" spans="1:9" x14ac:dyDescent="0.2">
      <c r="A151" s="43" t="s">
        <v>1774</v>
      </c>
      <c r="I151"/>
    </row>
    <row r="152" spans="1:9" x14ac:dyDescent="0.2">
      <c r="I152"/>
    </row>
    <row r="153" spans="1:9" x14ac:dyDescent="0.2">
      <c r="A153" s="43" t="s">
        <v>1775</v>
      </c>
      <c r="I153"/>
    </row>
    <row r="154" spans="1:9" x14ac:dyDescent="0.2">
      <c r="A154" s="43" t="s">
        <v>1776</v>
      </c>
      <c r="H154" s="43" t="s">
        <v>2876</v>
      </c>
      <c r="I154"/>
    </row>
    <row r="155" spans="1:9" x14ac:dyDescent="0.2">
      <c r="A155" s="43" t="s">
        <v>1777</v>
      </c>
      <c r="I155"/>
    </row>
    <row r="156" spans="1:9" x14ac:dyDescent="0.2">
      <c r="E156" s="76">
        <f>10000*1.06*1.0283</f>
        <v>10899.98</v>
      </c>
      <c r="H156" s="43" t="s">
        <v>2877</v>
      </c>
      <c r="I156"/>
    </row>
    <row r="157" spans="1:9" x14ac:dyDescent="0.2">
      <c r="I157"/>
    </row>
    <row r="158" spans="1:9" x14ac:dyDescent="0.2">
      <c r="A158" s="43" t="s">
        <v>2878</v>
      </c>
      <c r="I158"/>
    </row>
    <row r="159" spans="1:9" x14ac:dyDescent="0.2">
      <c r="I159"/>
    </row>
    <row r="160" spans="1:9" x14ac:dyDescent="0.2">
      <c r="A160" s="180" t="s">
        <v>3406</v>
      </c>
      <c r="B160" s="180"/>
      <c r="C160" s="180"/>
      <c r="D160" s="180"/>
      <c r="E160" s="180"/>
      <c r="F160" s="180"/>
      <c r="G160" s="180"/>
      <c r="H160" s="180"/>
      <c r="I160"/>
    </row>
    <row r="161" spans="1:9" x14ac:dyDescent="0.2">
      <c r="A161" s="43" t="s">
        <v>2881</v>
      </c>
      <c r="I161"/>
    </row>
    <row r="162" spans="1:9" x14ac:dyDescent="0.2">
      <c r="A162" s="43" t="s">
        <v>1778</v>
      </c>
      <c r="I162"/>
    </row>
    <row r="163" spans="1:9" x14ac:dyDescent="0.2">
      <c r="A163" s="43" t="s">
        <v>3441</v>
      </c>
      <c r="I163"/>
    </row>
    <row r="164" spans="1:9" x14ac:dyDescent="0.2">
      <c r="A164" s="43" t="s">
        <v>1779</v>
      </c>
      <c r="I164"/>
    </row>
    <row r="165" spans="1:9" x14ac:dyDescent="0.2">
      <c r="I165"/>
    </row>
    <row r="166" spans="1:9" x14ac:dyDescent="0.2">
      <c r="A166" s="43" t="s">
        <v>111</v>
      </c>
      <c r="I166"/>
    </row>
    <row r="167" spans="1:9" x14ac:dyDescent="0.2">
      <c r="A167" s="43" t="s">
        <v>2879</v>
      </c>
      <c r="I167"/>
    </row>
    <row r="168" spans="1:9" x14ac:dyDescent="0.2">
      <c r="A168" s="43" t="s">
        <v>2880</v>
      </c>
      <c r="I168"/>
    </row>
    <row r="169" spans="1:9" x14ac:dyDescent="0.2">
      <c r="A169" s="43" t="s">
        <v>2882</v>
      </c>
      <c r="I169"/>
    </row>
    <row r="170" spans="1:9" x14ac:dyDescent="0.2">
      <c r="A170" s="43" t="s">
        <v>2883</v>
      </c>
      <c r="E170" s="72">
        <v>5.0000000000000001E-3</v>
      </c>
      <c r="F170" s="43" t="s">
        <v>87</v>
      </c>
      <c r="G170" s="43" t="s">
        <v>2885</v>
      </c>
      <c r="I170"/>
    </row>
    <row r="171" spans="1:9" x14ac:dyDescent="0.2">
      <c r="E171" s="47">
        <v>30</v>
      </c>
      <c r="F171" s="43" t="s">
        <v>89</v>
      </c>
      <c r="G171" s="43" t="s">
        <v>2884</v>
      </c>
      <c r="I171"/>
    </row>
    <row r="172" spans="1:9" x14ac:dyDescent="0.2">
      <c r="E172" s="47">
        <v>100000</v>
      </c>
      <c r="F172" s="43" t="s">
        <v>281</v>
      </c>
      <c r="G172" s="43" t="s">
        <v>2886</v>
      </c>
      <c r="I172"/>
    </row>
    <row r="173" spans="1:9" x14ac:dyDescent="0.2">
      <c r="A173" s="43" t="s">
        <v>3407</v>
      </c>
      <c r="E173" s="748">
        <f>PMT(E170,E171,E172,E174)</f>
        <v>-3597.8918413828028</v>
      </c>
      <c r="F173" s="43" t="s">
        <v>91</v>
      </c>
      <c r="G173" s="43" t="s">
        <v>2888</v>
      </c>
      <c r="I173"/>
    </row>
    <row r="174" spans="1:9" x14ac:dyDescent="0.2">
      <c r="E174" s="47">
        <v>0</v>
      </c>
      <c r="F174" s="43" t="s">
        <v>105</v>
      </c>
      <c r="G174" s="43" t="s">
        <v>2887</v>
      </c>
      <c r="I174"/>
    </row>
    <row r="175" spans="1:9" ht="16" thickBot="1" x14ac:dyDescent="0.25">
      <c r="I175"/>
    </row>
    <row r="176" spans="1:9" ht="16" thickBot="1" x14ac:dyDescent="0.25">
      <c r="A176" s="43" t="s">
        <v>1780</v>
      </c>
      <c r="F176" s="210">
        <f>-E173*1.011</f>
        <v>3637.4686516380134</v>
      </c>
      <c r="H176" s="43" t="s">
        <v>1781</v>
      </c>
      <c r="I176"/>
    </row>
    <row r="177" spans="1:9" x14ac:dyDescent="0.2">
      <c r="I177"/>
    </row>
    <row r="178" spans="1:9" x14ac:dyDescent="0.2">
      <c r="G178" s="43" t="s">
        <v>3408</v>
      </c>
      <c r="I178"/>
    </row>
    <row r="179" spans="1:9" x14ac:dyDescent="0.2">
      <c r="I179"/>
    </row>
    <row r="180" spans="1:9" x14ac:dyDescent="0.2">
      <c r="B180" s="43" t="s">
        <v>2889</v>
      </c>
      <c r="I180"/>
    </row>
    <row r="181" spans="1:9" x14ac:dyDescent="0.2">
      <c r="I181"/>
    </row>
    <row r="182" spans="1:9" ht="16" thickBot="1" x14ac:dyDescent="0.25">
      <c r="A182" s="43" t="s">
        <v>3409</v>
      </c>
      <c r="I182"/>
    </row>
    <row r="183" spans="1:9" ht="16" thickBot="1" x14ac:dyDescent="0.25">
      <c r="F183" s="210">
        <f>-E173*114.4/110</f>
        <v>3741.8075150381151</v>
      </c>
      <c r="G183" s="749" t="s">
        <v>3410</v>
      </c>
      <c r="H183" s="711"/>
      <c r="I183" s="711"/>
    </row>
    <row r="184" spans="1:9" x14ac:dyDescent="0.2">
      <c r="I184"/>
    </row>
    <row r="185" spans="1:9" x14ac:dyDescent="0.2">
      <c r="I185"/>
    </row>
    <row r="186" spans="1:9" x14ac:dyDescent="0.2">
      <c r="I186"/>
    </row>
    <row r="187" spans="1:9" x14ac:dyDescent="0.2">
      <c r="I187"/>
    </row>
    <row r="188" spans="1:9" x14ac:dyDescent="0.2">
      <c r="A188" s="43" t="s">
        <v>2890</v>
      </c>
      <c r="I188"/>
    </row>
    <row r="189" spans="1:9" x14ac:dyDescent="0.2">
      <c r="F189" s="653">
        <f>114.4/110-1</f>
        <v>4.0000000000000036E-2</v>
      </c>
      <c r="H189" s="43" t="s">
        <v>2891</v>
      </c>
      <c r="I189"/>
    </row>
    <row r="190" spans="1:9" x14ac:dyDescent="0.2">
      <c r="I190"/>
    </row>
    <row r="191" spans="1:9" x14ac:dyDescent="0.2">
      <c r="F191" s="43" t="s">
        <v>3413</v>
      </c>
      <c r="H191" s="43" t="s">
        <v>2853</v>
      </c>
      <c r="I191" t="s">
        <v>3411</v>
      </c>
    </row>
    <row r="192" spans="1:9" x14ac:dyDescent="0.2">
      <c r="F192" s="43" t="s">
        <v>3414</v>
      </c>
      <c r="H192" s="43" t="s">
        <v>3412</v>
      </c>
      <c r="I192"/>
    </row>
    <row r="193" spans="1:9" ht="16" thickBot="1" x14ac:dyDescent="0.25">
      <c r="A193" s="43" t="s">
        <v>2892</v>
      </c>
    </row>
    <row r="194" spans="1:9" ht="16" thickBot="1" x14ac:dyDescent="0.25">
      <c r="F194" s="654">
        <f>F183</f>
        <v>3741.8075150381151</v>
      </c>
      <c r="H194" s="43" t="s">
        <v>2893</v>
      </c>
      <c r="I194"/>
    </row>
    <row r="195" spans="1:9" x14ac:dyDescent="0.2">
      <c r="I195"/>
    </row>
    <row r="196" spans="1:9" x14ac:dyDescent="0.2">
      <c r="I196"/>
    </row>
    <row r="197" spans="1:9" x14ac:dyDescent="0.2">
      <c r="I197"/>
    </row>
    <row r="198" spans="1:9" x14ac:dyDescent="0.2">
      <c r="A198" s="44" t="s">
        <v>1782</v>
      </c>
      <c r="B198" s="43" t="s">
        <v>3415</v>
      </c>
      <c r="I198"/>
    </row>
    <row r="199" spans="1:9" x14ac:dyDescent="0.2">
      <c r="B199" s="43" t="s">
        <v>3416</v>
      </c>
      <c r="I199"/>
    </row>
    <row r="200" spans="1:9" x14ac:dyDescent="0.2">
      <c r="B200" s="43" t="s">
        <v>3424</v>
      </c>
      <c r="I200"/>
    </row>
    <row r="201" spans="1:9" x14ac:dyDescent="0.2">
      <c r="I201"/>
    </row>
    <row r="202" spans="1:9" x14ac:dyDescent="0.2">
      <c r="B202" s="43" t="s">
        <v>3417</v>
      </c>
      <c r="E202" s="161"/>
      <c r="I202"/>
    </row>
    <row r="203" spans="1:9" x14ac:dyDescent="0.2">
      <c r="B203" s="43" t="s">
        <v>3418</v>
      </c>
      <c r="I203"/>
    </row>
    <row r="204" spans="1:9" ht="48" x14ac:dyDescent="0.2">
      <c r="B204" s="750" t="s">
        <v>3423</v>
      </c>
      <c r="C204" s="750" t="s">
        <v>3422</v>
      </c>
      <c r="D204" s="750" t="s">
        <v>3420</v>
      </c>
      <c r="E204" s="750" t="s">
        <v>3419</v>
      </c>
      <c r="I204"/>
    </row>
    <row r="205" spans="1:9" x14ac:dyDescent="0.2">
      <c r="D205" s="72">
        <v>5.0000000000000001E-3</v>
      </c>
      <c r="E205" s="72">
        <v>5.0000000000000001E-3</v>
      </c>
      <c r="F205" s="43" t="s">
        <v>87</v>
      </c>
      <c r="I205"/>
    </row>
    <row r="206" spans="1:9" x14ac:dyDescent="0.2">
      <c r="D206" s="47">
        <f>E206-5</f>
        <v>25</v>
      </c>
      <c r="E206" s="47">
        <v>30</v>
      </c>
      <c r="F206" s="43" t="s">
        <v>89</v>
      </c>
      <c r="I206"/>
    </row>
    <row r="207" spans="1:9" x14ac:dyDescent="0.2">
      <c r="D207" s="229">
        <f>E207</f>
        <v>-3597.8918413828028</v>
      </c>
      <c r="E207" s="751">
        <f>PMT(E205,E206,E208,E209)</f>
        <v>-3597.8918413828028</v>
      </c>
      <c r="F207" s="43" t="s">
        <v>91</v>
      </c>
      <c r="I207"/>
    </row>
    <row r="208" spans="1:9" x14ac:dyDescent="0.2">
      <c r="B208" s="753">
        <f>D208*114.4/110</f>
        <v>87729.064581532934</v>
      </c>
      <c r="C208" s="43" t="s">
        <v>3421</v>
      </c>
      <c r="D208" s="752">
        <f>PV(D205,D206,D207,D209)</f>
        <v>84354.869789935503</v>
      </c>
      <c r="E208" s="47">
        <v>100000</v>
      </c>
      <c r="F208" s="43" t="s">
        <v>281</v>
      </c>
      <c r="I208"/>
    </row>
    <row r="209" spans="1:9" x14ac:dyDescent="0.2">
      <c r="D209" s="47">
        <v>0</v>
      </c>
      <c r="E209" s="47">
        <v>0</v>
      </c>
      <c r="F209" s="43" t="s">
        <v>105</v>
      </c>
      <c r="I209"/>
    </row>
    <row r="210" spans="1:9" x14ac:dyDescent="0.2">
      <c r="I210"/>
    </row>
    <row r="211" spans="1:9" x14ac:dyDescent="0.2">
      <c r="I211"/>
    </row>
    <row r="212" spans="1:9" x14ac:dyDescent="0.2">
      <c r="I212"/>
    </row>
    <row r="213" spans="1:9" ht="16" thickBot="1" x14ac:dyDescent="0.25">
      <c r="B213" s="43" t="s">
        <v>1783</v>
      </c>
      <c r="I213"/>
    </row>
    <row r="214" spans="1:9" ht="16" thickBot="1" x14ac:dyDescent="0.25">
      <c r="E214" s="210">
        <f>B208</f>
        <v>87729.064581532934</v>
      </c>
      <c r="H214" s="43" t="s">
        <v>2894</v>
      </c>
      <c r="I214"/>
    </row>
    <row r="215" spans="1:9" x14ac:dyDescent="0.2">
      <c r="I215"/>
    </row>
    <row r="216" spans="1:9" x14ac:dyDescent="0.2">
      <c r="I216"/>
    </row>
    <row r="217" spans="1:9" x14ac:dyDescent="0.2">
      <c r="A217" s="43" t="s">
        <v>2895</v>
      </c>
      <c r="I217"/>
    </row>
    <row r="218" spans="1:9" x14ac:dyDescent="0.2">
      <c r="A218" s="44" t="s">
        <v>2896</v>
      </c>
      <c r="I218"/>
    </row>
    <row r="219" spans="1:9" x14ac:dyDescent="0.2">
      <c r="I219"/>
    </row>
    <row r="220" spans="1:9" x14ac:dyDescent="0.2">
      <c r="A220" s="754" t="s">
        <v>3425</v>
      </c>
      <c r="B220" s="754"/>
      <c r="C220" s="754"/>
      <c r="D220" s="754"/>
      <c r="E220" s="754"/>
      <c r="F220" s="754"/>
      <c r="G220" s="754"/>
      <c r="H220" s="754"/>
      <c r="I220"/>
    </row>
    <row r="221" spans="1:9" x14ac:dyDescent="0.2">
      <c r="H221" s="43" t="s">
        <v>3427</v>
      </c>
      <c r="I221"/>
    </row>
    <row r="222" spans="1:9" x14ac:dyDescent="0.2">
      <c r="A222" s="43" t="s">
        <v>3426</v>
      </c>
      <c r="H222" s="755">
        <v>1</v>
      </c>
      <c r="I222"/>
    </row>
    <row r="223" spans="1:9" x14ac:dyDescent="0.2">
      <c r="A223" s="43" t="s">
        <v>3428</v>
      </c>
      <c r="H223" s="755"/>
      <c r="I223"/>
    </row>
    <row r="224" spans="1:9" x14ac:dyDescent="0.2">
      <c r="B224" s="43" t="s">
        <v>3429</v>
      </c>
      <c r="H224" s="755"/>
      <c r="I224"/>
    </row>
    <row r="225" spans="1:9" x14ac:dyDescent="0.2">
      <c r="B225" s="43" t="s">
        <v>3430</v>
      </c>
      <c r="H225" s="755"/>
      <c r="I225"/>
    </row>
    <row r="226" spans="1:9" x14ac:dyDescent="0.2">
      <c r="A226" s="43" t="s">
        <v>3431</v>
      </c>
      <c r="H226" s="755">
        <v>2</v>
      </c>
      <c r="I226"/>
    </row>
    <row r="227" spans="1:9" x14ac:dyDescent="0.2">
      <c r="B227" s="43" t="s">
        <v>3432</v>
      </c>
      <c r="H227" s="755"/>
      <c r="I227"/>
    </row>
    <row r="228" spans="1:9" x14ac:dyDescent="0.2">
      <c r="B228" s="43" t="s">
        <v>3433</v>
      </c>
      <c r="H228" s="755"/>
      <c r="I228"/>
    </row>
    <row r="229" spans="1:9" x14ac:dyDescent="0.2">
      <c r="A229" s="43" t="s">
        <v>3434</v>
      </c>
      <c r="H229" s="755">
        <v>3</v>
      </c>
      <c r="I229"/>
    </row>
    <row r="230" spans="1:9" x14ac:dyDescent="0.2">
      <c r="A230" s="43" t="s">
        <v>3435</v>
      </c>
      <c r="H230" s="755"/>
      <c r="I230"/>
    </row>
    <row r="231" spans="1:9" x14ac:dyDescent="0.2">
      <c r="A231" s="43" t="s">
        <v>3438</v>
      </c>
      <c r="H231" s="755">
        <v>5</v>
      </c>
      <c r="I231"/>
    </row>
    <row r="232" spans="1:9" x14ac:dyDescent="0.2">
      <c r="B232" s="43" t="s">
        <v>3436</v>
      </c>
      <c r="H232" s="755"/>
      <c r="I232"/>
    </row>
    <row r="233" spans="1:9" x14ac:dyDescent="0.2">
      <c r="B233" s="43" t="s">
        <v>3437</v>
      </c>
      <c r="H233" s="755"/>
      <c r="I233"/>
    </row>
    <row r="234" spans="1:9" x14ac:dyDescent="0.2">
      <c r="A234" s="43" t="s">
        <v>3439</v>
      </c>
      <c r="H234" s="755"/>
      <c r="I234"/>
    </row>
    <row r="235" spans="1:9" x14ac:dyDescent="0.2">
      <c r="B235" s="43" t="s">
        <v>3440</v>
      </c>
      <c r="H235" s="755"/>
      <c r="I235"/>
    </row>
    <row r="236" spans="1:9" x14ac:dyDescent="0.2">
      <c r="I236"/>
    </row>
    <row r="237" spans="1:9" x14ac:dyDescent="0.2">
      <c r="A237" s="181" t="s">
        <v>1784</v>
      </c>
      <c r="B237" s="181"/>
      <c r="C237" s="181"/>
      <c r="D237" s="181"/>
      <c r="E237" s="181" t="s">
        <v>780</v>
      </c>
      <c r="F237" s="181"/>
      <c r="G237" s="181"/>
      <c r="H237" s="181"/>
    </row>
    <row r="238" spans="1:9" x14ac:dyDescent="0.2">
      <c r="A238" s="43" t="s">
        <v>1785</v>
      </c>
    </row>
    <row r="239" spans="1:9" x14ac:dyDescent="0.2">
      <c r="A239" s="59" t="s">
        <v>1134</v>
      </c>
      <c r="B239" s="59" t="s">
        <v>1786</v>
      </c>
    </row>
    <row r="240" spans="1:9" x14ac:dyDescent="0.2">
      <c r="A240" s="43" t="s">
        <v>1787</v>
      </c>
      <c r="B240" s="161">
        <v>5.0000000000000001E-3</v>
      </c>
    </row>
    <row r="241" spans="1:2" x14ac:dyDescent="0.2">
      <c r="A241" s="43" t="s">
        <v>1788</v>
      </c>
      <c r="B241" s="161">
        <v>5.0000000000000001E-3</v>
      </c>
    </row>
    <row r="242" spans="1:2" x14ac:dyDescent="0.2">
      <c r="A242" s="43" t="s">
        <v>1789</v>
      </c>
      <c r="B242" s="161">
        <v>-2E-3</v>
      </c>
    </row>
    <row r="243" spans="1:2" x14ac:dyDescent="0.2">
      <c r="A243" s="43" t="s">
        <v>1790</v>
      </c>
      <c r="B243" s="161">
        <v>-4.0000000000000001E-3</v>
      </c>
    </row>
    <row r="244" spans="1:2" x14ac:dyDescent="0.2">
      <c r="A244" s="43" t="s">
        <v>1791</v>
      </c>
      <c r="B244" s="161">
        <v>-2E-3</v>
      </c>
    </row>
    <row r="245" spans="1:2" x14ac:dyDescent="0.2">
      <c r="A245" s="43" t="s">
        <v>1792</v>
      </c>
      <c r="B245" s="161">
        <v>5.0000000000000001E-3</v>
      </c>
    </row>
    <row r="246" spans="1:2" x14ac:dyDescent="0.2">
      <c r="A246" s="43" t="s">
        <v>1793</v>
      </c>
      <c r="B246" s="161">
        <v>3.0000000000000001E-3</v>
      </c>
    </row>
    <row r="247" spans="1:2" x14ac:dyDescent="0.2">
      <c r="A247" s="43" t="s">
        <v>1794</v>
      </c>
      <c r="B247" s="161">
        <v>-0.02</v>
      </c>
    </row>
    <row r="248" spans="1:2" x14ac:dyDescent="0.2">
      <c r="A248" s="43" t="s">
        <v>1795</v>
      </c>
      <c r="B248" s="161">
        <v>3.0000000000000001E-3</v>
      </c>
    </row>
    <row r="249" spans="1:2" x14ac:dyDescent="0.2">
      <c r="A249" s="43" t="s">
        <v>1796</v>
      </c>
      <c r="B249" s="161">
        <v>5.0000000000000001E-3</v>
      </c>
    </row>
    <row r="250" spans="1:2" x14ac:dyDescent="0.2">
      <c r="A250" s="43" t="s">
        <v>1797</v>
      </c>
      <c r="B250" s="161">
        <v>-2E-3</v>
      </c>
    </row>
    <row r="251" spans="1:2" x14ac:dyDescent="0.2">
      <c r="A251" s="43" t="s">
        <v>1798</v>
      </c>
      <c r="B251" s="161">
        <v>3.0000000000000001E-3</v>
      </c>
    </row>
    <row r="253" spans="1:2" x14ac:dyDescent="0.2">
      <c r="A253" s="43" t="s">
        <v>321</v>
      </c>
    </row>
    <row r="254" spans="1:2" x14ac:dyDescent="0.2">
      <c r="A254" s="43" t="s">
        <v>1799</v>
      </c>
    </row>
    <row r="255" spans="1:2" x14ac:dyDescent="0.2">
      <c r="A255" s="43" t="s">
        <v>1800</v>
      </c>
    </row>
    <row r="257" spans="1:8" x14ac:dyDescent="0.2">
      <c r="A257" s="44" t="s">
        <v>2897</v>
      </c>
    </row>
    <row r="258" spans="1:8" x14ac:dyDescent="0.2">
      <c r="A258" s="59" t="s">
        <v>1134</v>
      </c>
      <c r="B258" s="59" t="s">
        <v>1786</v>
      </c>
      <c r="C258" s="49" t="s">
        <v>1801</v>
      </c>
    </row>
    <row r="259" spans="1:8" x14ac:dyDescent="0.2">
      <c r="A259" s="43" t="s">
        <v>1787</v>
      </c>
      <c r="B259" s="161">
        <v>5.0000000000000001E-3</v>
      </c>
      <c r="C259" s="161">
        <f>B259+1</f>
        <v>1.0049999999999999</v>
      </c>
      <c r="E259" s="43" t="s">
        <v>1802</v>
      </c>
    </row>
    <row r="260" spans="1:8" x14ac:dyDescent="0.2">
      <c r="A260" s="43" t="s">
        <v>1788</v>
      </c>
      <c r="B260" s="161">
        <v>5.0000000000000001E-3</v>
      </c>
      <c r="C260" s="161">
        <f t="shared" ref="C260:C270" si="1">B260+1</f>
        <v>1.0049999999999999</v>
      </c>
      <c r="E260" s="211"/>
      <c r="H260" s="655">
        <f>PRODUCT(C259:C270)-1</f>
        <v>-1.2792248369833947E-3</v>
      </c>
    </row>
    <row r="261" spans="1:8" x14ac:dyDescent="0.2">
      <c r="A261" s="43" t="s">
        <v>1789</v>
      </c>
      <c r="B261" s="161">
        <v>-2E-3</v>
      </c>
      <c r="C261" s="161">
        <f t="shared" si="1"/>
        <v>0.998</v>
      </c>
      <c r="E261" s="43" t="s">
        <v>2898</v>
      </c>
    </row>
    <row r="262" spans="1:8" x14ac:dyDescent="0.2">
      <c r="A262" s="43" t="s">
        <v>1790</v>
      </c>
      <c r="B262" s="161">
        <v>-4.0000000000000001E-3</v>
      </c>
      <c r="C262" s="161">
        <f t="shared" si="1"/>
        <v>0.996</v>
      </c>
      <c r="E262" s="43" t="s">
        <v>1803</v>
      </c>
    </row>
    <row r="263" spans="1:8" ht="16" thickBot="1" x14ac:dyDescent="0.25">
      <c r="A263" s="43" t="s">
        <v>1791</v>
      </c>
      <c r="B263" s="161">
        <v>-2E-3</v>
      </c>
      <c r="C263" s="161">
        <f t="shared" si="1"/>
        <v>0.998</v>
      </c>
    </row>
    <row r="264" spans="1:8" x14ac:dyDescent="0.2">
      <c r="A264" s="43" t="s">
        <v>1792</v>
      </c>
      <c r="B264" s="161">
        <v>5.0000000000000001E-3</v>
      </c>
      <c r="C264" s="161">
        <f t="shared" si="1"/>
        <v>1.0049999999999999</v>
      </c>
      <c r="E264" s="212" t="s">
        <v>435</v>
      </c>
      <c r="F264" s="213"/>
      <c r="G264" s="213"/>
      <c r="H264" s="214"/>
    </row>
    <row r="265" spans="1:8" x14ac:dyDescent="0.2">
      <c r="A265" s="43" t="s">
        <v>1793</v>
      </c>
      <c r="B265" s="161">
        <v>3.0000000000000001E-3</v>
      </c>
      <c r="C265" s="161">
        <f t="shared" si="1"/>
        <v>1.0029999999999999</v>
      </c>
      <c r="E265" s="215" t="s">
        <v>2899</v>
      </c>
      <c r="H265" s="216"/>
    </row>
    <row r="266" spans="1:8" ht="16" thickBot="1" x14ac:dyDescent="0.25">
      <c r="A266" s="43" t="s">
        <v>1794</v>
      </c>
      <c r="B266" s="161">
        <v>-0.02</v>
      </c>
      <c r="C266" s="161">
        <f t="shared" si="1"/>
        <v>0.98</v>
      </c>
      <c r="E266" s="217" t="s">
        <v>2900</v>
      </c>
      <c r="F266" s="218"/>
      <c r="G266" s="218"/>
      <c r="H266" s="219"/>
    </row>
    <row r="267" spans="1:8" ht="16" thickBot="1" x14ac:dyDescent="0.25">
      <c r="A267" s="43" t="s">
        <v>1795</v>
      </c>
      <c r="B267" s="161">
        <v>3.0000000000000001E-3</v>
      </c>
      <c r="C267" s="161">
        <f t="shared" si="1"/>
        <v>1.0029999999999999</v>
      </c>
      <c r="E267" s="43" t="s">
        <v>1804</v>
      </c>
    </row>
    <row r="268" spans="1:8" x14ac:dyDescent="0.2">
      <c r="A268" s="43" t="s">
        <v>1796</v>
      </c>
      <c r="B268" s="161">
        <v>5.0000000000000001E-3</v>
      </c>
      <c r="C268" s="161">
        <f t="shared" si="1"/>
        <v>1.0049999999999999</v>
      </c>
      <c r="E268" s="323" t="s">
        <v>1805</v>
      </c>
      <c r="F268" s="213"/>
      <c r="G268" s="213"/>
      <c r="H268" s="214"/>
    </row>
    <row r="269" spans="1:8" x14ac:dyDescent="0.2">
      <c r="A269" s="43" t="s">
        <v>1797</v>
      </c>
      <c r="B269" s="161">
        <v>-2E-3</v>
      </c>
      <c r="C269" s="161">
        <f t="shared" si="1"/>
        <v>0.998</v>
      </c>
      <c r="E269" s="322" t="s">
        <v>1806</v>
      </c>
      <c r="H269" s="216"/>
    </row>
    <row r="270" spans="1:8" ht="16" thickBot="1" x14ac:dyDescent="0.25">
      <c r="A270" s="43" t="s">
        <v>1798</v>
      </c>
      <c r="B270" s="161">
        <v>3.0000000000000001E-3</v>
      </c>
      <c r="C270" s="161">
        <f t="shared" si="1"/>
        <v>1.0029999999999999</v>
      </c>
      <c r="E270" s="235" t="s">
        <v>1807</v>
      </c>
      <c r="F270" s="218"/>
      <c r="G270" s="218"/>
      <c r="H270" s="219"/>
    </row>
    <row r="273" spans="1:8" x14ac:dyDescent="0.2">
      <c r="E273" s="741">
        <f>(1+4.8%/12)^12-1</f>
        <v>4.9070207534805954E-2</v>
      </c>
    </row>
    <row r="274" spans="1:8" ht="16" thickBot="1" x14ac:dyDescent="0.25">
      <c r="E274" s="742"/>
    </row>
    <row r="275" spans="1:8" x14ac:dyDescent="0.2">
      <c r="E275" s="323" t="s">
        <v>1808</v>
      </c>
      <c r="F275" s="213"/>
      <c r="G275" s="213"/>
      <c r="H275" s="214"/>
    </row>
    <row r="276" spans="1:8" x14ac:dyDescent="0.2">
      <c r="E276" s="322"/>
      <c r="H276" s="216"/>
    </row>
    <row r="277" spans="1:8" x14ac:dyDescent="0.2">
      <c r="E277" s="322"/>
      <c r="H277" s="216"/>
    </row>
    <row r="278" spans="1:8" ht="16" thickBot="1" x14ac:dyDescent="0.25">
      <c r="E278" s="322"/>
      <c r="H278" s="216"/>
    </row>
    <row r="279" spans="1:8" ht="16" thickBot="1" x14ac:dyDescent="0.25">
      <c r="A279" s="43" t="s">
        <v>1809</v>
      </c>
      <c r="C279" s="656">
        <f>1.04907*(1+E260)-1</f>
        <v>4.9069999999999947E-2</v>
      </c>
      <c r="E279" s="235"/>
      <c r="F279" s="218"/>
      <c r="G279" s="218"/>
      <c r="H279" s="219"/>
    </row>
    <row r="281" spans="1:8" x14ac:dyDescent="0.2">
      <c r="A281" s="71"/>
      <c r="B281" s="71"/>
      <c r="C281" s="71"/>
      <c r="D281" s="71"/>
      <c r="E281" s="71"/>
      <c r="F281" s="71"/>
      <c r="G281" s="71"/>
      <c r="H281" s="71"/>
    </row>
    <row r="282" spans="1:8" x14ac:dyDescent="0.2">
      <c r="A282" s="44" t="s">
        <v>1810</v>
      </c>
    </row>
    <row r="283" spans="1:8" x14ac:dyDescent="0.2">
      <c r="A283" s="220" t="s">
        <v>1811</v>
      </c>
    </row>
    <row r="284" spans="1:8" x14ac:dyDescent="0.2">
      <c r="A284" s="220"/>
    </row>
    <row r="285" spans="1:8" x14ac:dyDescent="0.2">
      <c r="A285" s="221" t="s">
        <v>2901</v>
      </c>
    </row>
    <row r="286" spans="1:8" x14ac:dyDescent="0.2">
      <c r="A286" s="221"/>
    </row>
    <row r="287" spans="1:8" x14ac:dyDescent="0.2">
      <c r="A287" s="222" t="s">
        <v>1812</v>
      </c>
    </row>
    <row r="288" spans="1:8" x14ac:dyDescent="0.2">
      <c r="A288" s="222"/>
    </row>
    <row r="289" spans="1:8" x14ac:dyDescent="0.2">
      <c r="A289" s="223" t="s">
        <v>1813</v>
      </c>
    </row>
    <row r="290" spans="1:8" x14ac:dyDescent="0.2">
      <c r="A290" s="223"/>
    </row>
    <row r="291" spans="1:8" x14ac:dyDescent="0.2">
      <c r="A291" s="224" t="s">
        <v>1814</v>
      </c>
    </row>
    <row r="293" spans="1:8" x14ac:dyDescent="0.2">
      <c r="A293" s="181" t="s">
        <v>1815</v>
      </c>
      <c r="B293" s="181"/>
      <c r="C293" s="181"/>
      <c r="D293" s="181"/>
      <c r="E293" s="181" t="s">
        <v>13</v>
      </c>
      <c r="F293" s="181"/>
      <c r="G293" s="181"/>
      <c r="H293" s="181"/>
    </row>
    <row r="294" spans="1:8" x14ac:dyDescent="0.2">
      <c r="A294" s="43" t="s">
        <v>1816</v>
      </c>
    </row>
    <row r="295" spans="1:8" x14ac:dyDescent="0.2">
      <c r="A295" s="43" t="s">
        <v>1817</v>
      </c>
    </row>
    <row r="296" spans="1:8" x14ac:dyDescent="0.2">
      <c r="A296" s="43" t="s">
        <v>1818</v>
      </c>
    </row>
    <row r="297" spans="1:8" x14ac:dyDescent="0.2">
      <c r="A297" s="43" t="s">
        <v>1819</v>
      </c>
    </row>
    <row r="298" spans="1:8" x14ac:dyDescent="0.2">
      <c r="A298" s="43" t="s">
        <v>1820</v>
      </c>
    </row>
    <row r="300" spans="1:8" x14ac:dyDescent="0.2">
      <c r="A300" s="44" t="s">
        <v>111</v>
      </c>
    </row>
    <row r="302" spans="1:8" ht="16" thickBot="1" x14ac:dyDescent="0.25">
      <c r="A302" s="43" t="s">
        <v>1821</v>
      </c>
    </row>
    <row r="303" spans="1:8" ht="16" thickBot="1" x14ac:dyDescent="0.25">
      <c r="E303" s="225">
        <f>1.02*1.045-1</f>
        <v>6.5899999999999848E-2</v>
      </c>
      <c r="G303" s="43" t="s">
        <v>1822</v>
      </c>
    </row>
    <row r="305" spans="1:8" x14ac:dyDescent="0.2">
      <c r="A305" s="43" t="s">
        <v>1823</v>
      </c>
    </row>
    <row r="306" spans="1:8" ht="16" thickBot="1" x14ac:dyDescent="0.25">
      <c r="A306" s="43" t="s">
        <v>1824</v>
      </c>
    </row>
    <row r="307" spans="1:8" ht="16" thickBot="1" x14ac:dyDescent="0.25">
      <c r="E307" s="226">
        <f>(1+E303)/1.045-1</f>
        <v>2.0000000000000018E-2</v>
      </c>
      <c r="G307" s="43" t="s">
        <v>1825</v>
      </c>
    </row>
    <row r="309" spans="1:8" x14ac:dyDescent="0.2">
      <c r="A309" s="182" t="s">
        <v>1826</v>
      </c>
      <c r="B309" s="182"/>
      <c r="C309" s="182"/>
      <c r="D309" s="182"/>
      <c r="E309" s="183" t="s">
        <v>13</v>
      </c>
      <c r="F309" s="183"/>
      <c r="G309" s="183"/>
      <c r="H309" s="183"/>
    </row>
    <row r="310" spans="1:8" x14ac:dyDescent="0.2">
      <c r="A310" s="43" t="s">
        <v>1827</v>
      </c>
    </row>
    <row r="311" spans="1:8" x14ac:dyDescent="0.2">
      <c r="A311" s="43" t="s">
        <v>1828</v>
      </c>
    </row>
    <row r="312" spans="1:8" x14ac:dyDescent="0.2">
      <c r="A312" s="43" t="s">
        <v>1829</v>
      </c>
    </row>
    <row r="314" spans="1:8" x14ac:dyDescent="0.2">
      <c r="A314" s="44" t="s">
        <v>111</v>
      </c>
    </row>
    <row r="316" spans="1:8" x14ac:dyDescent="0.2">
      <c r="A316" s="43" t="s">
        <v>1830</v>
      </c>
      <c r="D316" s="43">
        <f>500000*1.028</f>
        <v>514000</v>
      </c>
    </row>
    <row r="317" spans="1:8" x14ac:dyDescent="0.2">
      <c r="A317" s="43" t="s">
        <v>1831</v>
      </c>
      <c r="D317" s="156">
        <f>1.028/1.037-1</f>
        <v>-8.6788813886209404E-3</v>
      </c>
    </row>
    <row r="319" spans="1:8" x14ac:dyDescent="0.2">
      <c r="A319" s="43" t="s">
        <v>1832</v>
      </c>
    </row>
    <row r="320" spans="1:8" x14ac:dyDescent="0.2">
      <c r="A320" s="43" t="s">
        <v>1833</v>
      </c>
    </row>
  </sheetData>
  <mergeCells count="7">
    <mergeCell ref="A1:H1"/>
    <mergeCell ref="E273:E274"/>
    <mergeCell ref="G183:I183"/>
    <mergeCell ref="H222:H225"/>
    <mergeCell ref="H226:H228"/>
    <mergeCell ref="H229:H230"/>
    <mergeCell ref="H231:H235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topLeftCell="A243" zoomScale="257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30" t="s">
        <v>2342</v>
      </c>
      <c r="B1" s="730"/>
      <c r="C1" s="730"/>
      <c r="D1" s="730"/>
      <c r="E1" s="730"/>
      <c r="F1" s="730"/>
      <c r="G1" s="730"/>
      <c r="H1" s="730"/>
    </row>
    <row r="3" spans="1:8" x14ac:dyDescent="0.2">
      <c r="A3" s="44" t="s">
        <v>1834</v>
      </c>
    </row>
    <row r="4" spans="1:8" x14ac:dyDescent="0.2">
      <c r="A4" s="43" t="s">
        <v>1835</v>
      </c>
    </row>
    <row r="5" spans="1:8" x14ac:dyDescent="0.2">
      <c r="A5" s="43" t="s">
        <v>1836</v>
      </c>
    </row>
    <row r="6" spans="1:8" x14ac:dyDescent="0.2">
      <c r="A6" s="43" t="s">
        <v>1837</v>
      </c>
    </row>
    <row r="8" spans="1:8" x14ac:dyDescent="0.2">
      <c r="A8" s="43" t="s">
        <v>1838</v>
      </c>
      <c r="B8" s="43" t="s">
        <v>1889</v>
      </c>
    </row>
    <row r="9" spans="1:8" x14ac:dyDescent="0.2">
      <c r="A9" s="228" t="s">
        <v>1890</v>
      </c>
      <c r="B9" s="43" t="s">
        <v>1839</v>
      </c>
    </row>
    <row r="10" spans="1:8" x14ac:dyDescent="0.2">
      <c r="B10" s="43" t="s">
        <v>1840</v>
      </c>
    </row>
    <row r="11" spans="1:8" x14ac:dyDescent="0.2">
      <c r="B11" s="43" t="s">
        <v>1841</v>
      </c>
    </row>
    <row r="12" spans="1:8" x14ac:dyDescent="0.2">
      <c r="B12" s="43" t="s">
        <v>1842</v>
      </c>
    </row>
    <row r="14" spans="1:8" x14ac:dyDescent="0.2">
      <c r="A14" s="43" t="s">
        <v>1843</v>
      </c>
      <c r="B14" s="43" t="s">
        <v>1891</v>
      </c>
    </row>
    <row r="15" spans="1:8" x14ac:dyDescent="0.2">
      <c r="A15" s="228" t="s">
        <v>1892</v>
      </c>
      <c r="B15" s="43" t="s">
        <v>1844</v>
      </c>
    </row>
    <row r="16" spans="1:8" x14ac:dyDescent="0.2">
      <c r="B16" s="43" t="s">
        <v>1845</v>
      </c>
    </row>
    <row r="18" spans="1:8" x14ac:dyDescent="0.2">
      <c r="B18" s="43" t="s">
        <v>1893</v>
      </c>
    </row>
    <row r="19" spans="1:8" x14ac:dyDescent="0.2">
      <c r="B19" s="43" t="s">
        <v>1846</v>
      </c>
    </row>
    <row r="21" spans="1:8" x14ac:dyDescent="0.2">
      <c r="A21" s="45" t="s">
        <v>1847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1894</v>
      </c>
    </row>
    <row r="23" spans="1:8" x14ac:dyDescent="0.2">
      <c r="A23" s="43" t="s">
        <v>1848</v>
      </c>
    </row>
    <row r="24" spans="1:8" x14ac:dyDescent="0.2">
      <c r="A24" s="43" t="s">
        <v>1849</v>
      </c>
    </row>
    <row r="26" spans="1:8" x14ac:dyDescent="0.2">
      <c r="A26" s="44" t="s">
        <v>111</v>
      </c>
    </row>
    <row r="27" spans="1:8" x14ac:dyDescent="0.2">
      <c r="A27" s="43" t="s">
        <v>1895</v>
      </c>
    </row>
    <row r="28" spans="1:8" x14ac:dyDescent="0.2">
      <c r="A28" s="43" t="s">
        <v>1896</v>
      </c>
    </row>
    <row r="29" spans="1:8" x14ac:dyDescent="0.2">
      <c r="A29" s="43" t="s">
        <v>1897</v>
      </c>
    </row>
    <row r="30" spans="1:8" x14ac:dyDescent="0.2">
      <c r="A30" s="43" t="s">
        <v>1898</v>
      </c>
    </row>
    <row r="31" spans="1:8" ht="16" thickBot="1" x14ac:dyDescent="0.25"/>
    <row r="32" spans="1:8" x14ac:dyDescent="0.2">
      <c r="B32" s="80" t="s">
        <v>1899</v>
      </c>
      <c r="C32" s="80" t="s">
        <v>1900</v>
      </c>
      <c r="E32" s="323" t="s">
        <v>2343</v>
      </c>
      <c r="F32" s="213"/>
      <c r="G32" s="213"/>
      <c r="H32" s="214"/>
    </row>
    <row r="33" spans="1:8" x14ac:dyDescent="0.2">
      <c r="B33" s="80">
        <v>0</v>
      </c>
      <c r="C33" s="80">
        <v>-100</v>
      </c>
      <c r="E33" s="322" t="s">
        <v>2344</v>
      </c>
      <c r="H33" s="216"/>
    </row>
    <row r="34" spans="1:8" x14ac:dyDescent="0.2">
      <c r="B34" s="80">
        <v>1</v>
      </c>
      <c r="C34" s="80">
        <v>80</v>
      </c>
      <c r="E34" s="322" t="s">
        <v>2345</v>
      </c>
      <c r="H34" s="216"/>
    </row>
    <row r="35" spans="1:8" ht="16" thickBot="1" x14ac:dyDescent="0.25">
      <c r="B35" s="80">
        <v>2</v>
      </c>
      <c r="C35" s="80">
        <v>90</v>
      </c>
      <c r="E35" s="235" t="s">
        <v>2346</v>
      </c>
      <c r="F35" s="218"/>
      <c r="G35" s="218"/>
      <c r="H35" s="219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1901</v>
      </c>
      <c r="C38" s="54">
        <v>0.1</v>
      </c>
      <c r="D38" s="43" t="s">
        <v>1902</v>
      </c>
      <c r="F38" s="43" t="s">
        <v>1903</v>
      </c>
    </row>
    <row r="39" spans="1:8" ht="16" thickBot="1" x14ac:dyDescent="0.25">
      <c r="C39" s="230">
        <f>NPV(C38,C34:C36)+C33</f>
        <v>99.699474079639344</v>
      </c>
      <c r="D39" s="43" t="s">
        <v>1904</v>
      </c>
      <c r="G39" s="43" t="str">
        <f ca="1">_xlfn.FORMULATEXT(C39)</f>
        <v>=NPV(C38,C34:C36)+C33</v>
      </c>
    </row>
    <row r="40" spans="1:8" ht="16" thickBot="1" x14ac:dyDescent="0.25">
      <c r="C40" s="229"/>
    </row>
    <row r="41" spans="1:8" x14ac:dyDescent="0.2">
      <c r="A41" s="212" t="s">
        <v>1905</v>
      </c>
      <c r="B41" s="213"/>
      <c r="C41" s="234"/>
      <c r="D41" s="213"/>
      <c r="E41" s="214"/>
      <c r="F41" s="43" t="s">
        <v>65</v>
      </c>
    </row>
    <row r="42" spans="1:8" ht="16" thickBot="1" x14ac:dyDescent="0.25">
      <c r="A42" s="235" t="s">
        <v>1906</v>
      </c>
      <c r="B42" s="218"/>
      <c r="C42" s="236"/>
      <c r="D42" s="218"/>
      <c r="E42" s="219"/>
      <c r="F42" s="47" t="s">
        <v>1873</v>
      </c>
      <c r="G42" s="43" t="s">
        <v>265</v>
      </c>
    </row>
    <row r="43" spans="1:8" x14ac:dyDescent="0.2">
      <c r="C43" s="229"/>
      <c r="F43" s="47" t="s">
        <v>1907</v>
      </c>
      <c r="G43" s="43" t="s">
        <v>1908</v>
      </c>
    </row>
    <row r="44" spans="1:8" x14ac:dyDescent="0.2">
      <c r="F44" s="47" t="s">
        <v>1909</v>
      </c>
      <c r="G44" s="43" t="s">
        <v>1910</v>
      </c>
    </row>
    <row r="45" spans="1:8" x14ac:dyDescent="0.2">
      <c r="F45" s="47" t="s">
        <v>1911</v>
      </c>
      <c r="G45" s="43" t="s">
        <v>1912</v>
      </c>
    </row>
    <row r="46" spans="1:8" x14ac:dyDescent="0.2">
      <c r="A46" s="43" t="s">
        <v>2347</v>
      </c>
    </row>
    <row r="47" spans="1:8" x14ac:dyDescent="0.2">
      <c r="A47" s="43" t="s">
        <v>1913</v>
      </c>
    </row>
    <row r="48" spans="1:8" x14ac:dyDescent="0.2">
      <c r="A48" s="43" t="s">
        <v>1914</v>
      </c>
    </row>
    <row r="50" spans="1:11" x14ac:dyDescent="0.2">
      <c r="B50" s="80" t="s">
        <v>1899</v>
      </c>
      <c r="C50" s="80" t="s">
        <v>1900</v>
      </c>
      <c r="D50" s="80" t="s">
        <v>153</v>
      </c>
      <c r="E50" s="80" t="s">
        <v>973</v>
      </c>
      <c r="F50" s="232" t="s">
        <v>974</v>
      </c>
    </row>
    <row r="51" spans="1:11" x14ac:dyDescent="0.2">
      <c r="B51" s="80">
        <v>0</v>
      </c>
      <c r="C51" s="233">
        <f>C33+-C39</f>
        <v>-199.69947407963934</v>
      </c>
      <c r="D51" s="80"/>
      <c r="E51" s="80"/>
      <c r="F51" s="232"/>
    </row>
    <row r="52" spans="1:11" x14ac:dyDescent="0.2">
      <c r="B52" s="80">
        <v>1</v>
      </c>
      <c r="C52" s="80"/>
      <c r="D52" s="231">
        <f>-C51*1.1</f>
        <v>219.6694214876033</v>
      </c>
      <c r="E52" s="80">
        <f>-C34</f>
        <v>-80</v>
      </c>
      <c r="F52" s="231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1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1850</v>
      </c>
      <c r="B64" s="46"/>
      <c r="C64" s="46"/>
      <c r="D64" s="46"/>
      <c r="E64" s="46"/>
      <c r="F64" s="46"/>
      <c r="G64" s="46"/>
      <c r="H64" s="46"/>
      <c r="J64" s="43" t="s">
        <v>564</v>
      </c>
      <c r="K64" s="43" t="s">
        <v>828</v>
      </c>
    </row>
    <row r="65" spans="1:11" x14ac:dyDescent="0.2">
      <c r="A65" s="43" t="s">
        <v>1851</v>
      </c>
      <c r="J65" s="43">
        <v>0</v>
      </c>
      <c r="K65" s="43">
        <v>-400</v>
      </c>
    </row>
    <row r="66" spans="1:11" x14ac:dyDescent="0.2">
      <c r="A66" s="43" t="s">
        <v>1852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1915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1916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1917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1918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1919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1920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1921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1922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1923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1924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1925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1926</v>
      </c>
      <c r="F84" s="74">
        <v>-400000</v>
      </c>
      <c r="G84" s="43" t="s">
        <v>1901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1927</v>
      </c>
      <c r="E85" s="149" t="s">
        <v>1928</v>
      </c>
      <c r="F85" s="237">
        <f>F83+F84</f>
        <v>-211461.7106602336</v>
      </c>
      <c r="G85" s="43" t="s">
        <v>1929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8" t="s">
        <v>1930</v>
      </c>
      <c r="B87" s="239"/>
      <c r="C87" s="239"/>
      <c r="D87" s="239"/>
      <c r="E87" s="239"/>
      <c r="F87" s="239"/>
      <c r="G87" s="239"/>
      <c r="H87" s="240"/>
      <c r="J87" s="43">
        <f t="shared" si="0"/>
        <v>22</v>
      </c>
      <c r="K87" s="43">
        <f t="shared" si="1"/>
        <v>20</v>
      </c>
    </row>
    <row r="88" spans="1:11" x14ac:dyDescent="0.2">
      <c r="A88" s="241" t="s">
        <v>1931</v>
      </c>
      <c r="B88" s="79"/>
      <c r="C88" s="79"/>
      <c r="D88" s="79"/>
      <c r="E88" s="79"/>
      <c r="F88" s="79"/>
      <c r="G88" s="79"/>
      <c r="H88" s="242"/>
      <c r="J88" s="43">
        <f t="shared" si="0"/>
        <v>23</v>
      </c>
      <c r="K88" s="43">
        <f t="shared" si="1"/>
        <v>20</v>
      </c>
    </row>
    <row r="89" spans="1:11" x14ac:dyDescent="0.2">
      <c r="A89" s="241" t="s">
        <v>1932</v>
      </c>
      <c r="B89" s="79"/>
      <c r="C89" s="79"/>
      <c r="D89" s="79"/>
      <c r="E89" s="79"/>
      <c r="F89" s="79"/>
      <c r="G89" s="79"/>
      <c r="H89" s="242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3" t="s">
        <v>1933</v>
      </c>
      <c r="B90" s="244"/>
      <c r="C90" s="244"/>
      <c r="D90" s="244"/>
      <c r="E90" s="244"/>
      <c r="F90" s="244"/>
      <c r="G90" s="244"/>
      <c r="H90" s="245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2348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1853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321</v>
      </c>
    </row>
    <row r="101" spans="1:8" x14ac:dyDescent="0.2">
      <c r="A101" s="43" t="s">
        <v>1854</v>
      </c>
    </row>
    <row r="102" spans="1:8" x14ac:dyDescent="0.2">
      <c r="A102" s="43" t="s">
        <v>1855</v>
      </c>
    </row>
    <row r="104" spans="1:8" x14ac:dyDescent="0.2">
      <c r="A104" s="43" t="s">
        <v>290</v>
      </c>
    </row>
    <row r="105" spans="1:8" x14ac:dyDescent="0.2">
      <c r="B105" s="80" t="s">
        <v>564</v>
      </c>
      <c r="C105" s="80" t="s">
        <v>828</v>
      </c>
      <c r="E105" s="43" t="s">
        <v>1934</v>
      </c>
    </row>
    <row r="106" spans="1:8" x14ac:dyDescent="0.2">
      <c r="B106" s="80">
        <v>0</v>
      </c>
      <c r="C106" s="80">
        <v>-500</v>
      </c>
      <c r="E106" s="43" t="s">
        <v>1935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6">
        <f>IRR(C106:C112)</f>
        <v>7.7122415051250615E-2</v>
      </c>
      <c r="D114" s="43" t="s">
        <v>1936</v>
      </c>
      <c r="F114" s="43" t="str">
        <f ca="1">_xlfn.FORMULATEXT(C114)</f>
        <v>=IRR(C106:C112)</v>
      </c>
    </row>
    <row r="116" spans="1:8" x14ac:dyDescent="0.2">
      <c r="B116" s="43" t="s">
        <v>1937</v>
      </c>
    </row>
    <row r="117" spans="1:8" x14ac:dyDescent="0.2">
      <c r="B117" s="43" t="s">
        <v>1938</v>
      </c>
    </row>
    <row r="118" spans="1:8" x14ac:dyDescent="0.2">
      <c r="B118" s="43" t="s">
        <v>1939</v>
      </c>
    </row>
    <row r="120" spans="1:8" x14ac:dyDescent="0.2">
      <c r="A120" s="43" t="s">
        <v>291</v>
      </c>
    </row>
    <row r="121" spans="1:8" x14ac:dyDescent="0.2">
      <c r="B121" s="43" t="s">
        <v>1940</v>
      </c>
    </row>
    <row r="122" spans="1:8" x14ac:dyDescent="0.2">
      <c r="B122" s="43" t="s">
        <v>1941</v>
      </c>
    </row>
    <row r="123" spans="1:8" ht="16" thickBot="1" x14ac:dyDescent="0.25"/>
    <row r="124" spans="1:8" ht="16" thickBot="1" x14ac:dyDescent="0.25">
      <c r="A124" s="43" t="s">
        <v>1153</v>
      </c>
      <c r="C124" s="532" t="s">
        <v>1942</v>
      </c>
      <c r="D124" s="533" t="s">
        <v>1943</v>
      </c>
      <c r="E124" s="534" t="s">
        <v>1944</v>
      </c>
      <c r="F124" s="535" t="s">
        <v>1945</v>
      </c>
    </row>
    <row r="125" spans="1:8" x14ac:dyDescent="0.2">
      <c r="C125" s="536" t="s">
        <v>1873</v>
      </c>
      <c r="D125" s="530" t="s">
        <v>1946</v>
      </c>
      <c r="E125" s="531" t="s">
        <v>1947</v>
      </c>
      <c r="F125" s="531" t="s">
        <v>1948</v>
      </c>
    </row>
    <row r="126" spans="1:8" ht="16" thickBot="1" x14ac:dyDescent="0.25">
      <c r="C126" s="537" t="s">
        <v>1867</v>
      </c>
      <c r="D126" s="529" t="s">
        <v>1949</v>
      </c>
      <c r="E126" s="80" t="s">
        <v>1950</v>
      </c>
      <c r="F126" s="80" t="s">
        <v>1951</v>
      </c>
    </row>
    <row r="128" spans="1:8" x14ac:dyDescent="0.2">
      <c r="A128" s="45" t="s">
        <v>1856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1857</v>
      </c>
    </row>
    <row r="130" spans="1:5" x14ac:dyDescent="0.2">
      <c r="A130" s="43" t="s">
        <v>1858</v>
      </c>
    </row>
    <row r="132" spans="1:5" x14ac:dyDescent="0.2">
      <c r="B132" s="80" t="s">
        <v>1126</v>
      </c>
      <c r="C132" s="80" t="s">
        <v>1859</v>
      </c>
      <c r="D132" s="80" t="s">
        <v>1860</v>
      </c>
      <c r="E132" s="80" t="s">
        <v>1861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321</v>
      </c>
    </row>
    <row r="137" spans="1:5" x14ac:dyDescent="0.2">
      <c r="A137" s="43" t="s">
        <v>1862</v>
      </c>
    </row>
    <row r="138" spans="1:5" x14ac:dyDescent="0.2">
      <c r="A138" s="43" t="s">
        <v>1863</v>
      </c>
    </row>
    <row r="139" spans="1:5" x14ac:dyDescent="0.2">
      <c r="A139" s="43" t="s">
        <v>1864</v>
      </c>
    </row>
    <row r="141" spans="1:5" x14ac:dyDescent="0.2">
      <c r="A141" s="43" t="s">
        <v>1952</v>
      </c>
    </row>
    <row r="142" spans="1:5" x14ac:dyDescent="0.2">
      <c r="B142" s="80" t="s">
        <v>1126</v>
      </c>
      <c r="C142" s="80" t="s">
        <v>1859</v>
      </c>
      <c r="D142" s="80" t="s">
        <v>1860</v>
      </c>
      <c r="E142" s="80" t="s">
        <v>1861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1873</v>
      </c>
      <c r="C148" s="229">
        <f>NPV(C146,C144)+C143</f>
        <v>27.272727272727266</v>
      </c>
      <c r="D148" s="247">
        <f t="shared" ref="D148:E148" si="2">NPV(D146,D144)+D143</f>
        <v>18181.818181818177</v>
      </c>
      <c r="E148" s="229">
        <f t="shared" si="2"/>
        <v>0.81818181818181812</v>
      </c>
      <c r="F148" s="443" t="s">
        <v>1953</v>
      </c>
    </row>
    <row r="149" spans="1:8" x14ac:dyDescent="0.2">
      <c r="B149" s="47" t="s">
        <v>1867</v>
      </c>
      <c r="C149" s="54">
        <f>IRR(C143:C144)</f>
        <v>0.39999999999999991</v>
      </c>
      <c r="D149" s="54">
        <f t="shared" ref="D149:E149" si="3">IRR(D143:D144)</f>
        <v>0.30000000000000004</v>
      </c>
      <c r="E149" s="248">
        <f t="shared" si="3"/>
        <v>1</v>
      </c>
      <c r="F149" s="443" t="s">
        <v>1954</v>
      </c>
    </row>
    <row r="151" spans="1:8" x14ac:dyDescent="0.2">
      <c r="A151" s="43" t="s">
        <v>1955</v>
      </c>
    </row>
    <row r="152" spans="1:8" x14ac:dyDescent="0.2">
      <c r="A152" s="43" t="s">
        <v>1956</v>
      </c>
    </row>
    <row r="153" spans="1:8" x14ac:dyDescent="0.2">
      <c r="A153" s="43" t="s">
        <v>1957</v>
      </c>
    </row>
    <row r="155" spans="1:8" x14ac:dyDescent="0.2">
      <c r="A155" s="44" t="s">
        <v>1958</v>
      </c>
    </row>
    <row r="159" spans="1:8" x14ac:dyDescent="0.2">
      <c r="A159" s="45" t="s">
        <v>1865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1866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1867</v>
      </c>
    </row>
    <row r="162" spans="1:7" x14ac:dyDescent="0.2">
      <c r="B162" s="80" t="s">
        <v>1859</v>
      </c>
      <c r="C162" s="80">
        <v>-200</v>
      </c>
      <c r="D162" s="80">
        <v>120</v>
      </c>
      <c r="E162" s="80">
        <v>120</v>
      </c>
      <c r="F162" s="80">
        <v>120</v>
      </c>
      <c r="G162" s="227">
        <f>IRR(C162:F162)</f>
        <v>0.36309653946985665</v>
      </c>
    </row>
    <row r="163" spans="1:7" x14ac:dyDescent="0.2">
      <c r="B163" s="80" t="s">
        <v>1860</v>
      </c>
      <c r="C163" s="80">
        <v>-100</v>
      </c>
      <c r="D163" s="80">
        <v>80</v>
      </c>
      <c r="E163" s="80">
        <v>80</v>
      </c>
      <c r="F163" s="80">
        <v>80</v>
      </c>
      <c r="G163" s="227">
        <f>IRR(C163:F163)</f>
        <v>0.60735719639169461</v>
      </c>
    </row>
    <row r="165" spans="1:7" x14ac:dyDescent="0.2">
      <c r="A165" s="43" t="s">
        <v>1868</v>
      </c>
    </row>
    <row r="166" spans="1:7" x14ac:dyDescent="0.2">
      <c r="A166" s="43" t="s">
        <v>1869</v>
      </c>
    </row>
    <row r="167" spans="1:7" x14ac:dyDescent="0.2">
      <c r="A167" s="43" t="s">
        <v>1870</v>
      </c>
    </row>
    <row r="168" spans="1:7" x14ac:dyDescent="0.2">
      <c r="A168" s="43" t="s">
        <v>1871</v>
      </c>
    </row>
    <row r="169" spans="1:7" x14ac:dyDescent="0.2">
      <c r="A169" s="43" t="s">
        <v>1872</v>
      </c>
    </row>
    <row r="171" spans="1:7" x14ac:dyDescent="0.2">
      <c r="A171" s="43" t="s">
        <v>1959</v>
      </c>
    </row>
    <row r="172" spans="1:7" x14ac:dyDescent="0.2">
      <c r="A172" s="43" t="s">
        <v>1960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1867</v>
      </c>
    </row>
    <row r="175" spans="1:7" x14ac:dyDescent="0.2">
      <c r="B175" s="80" t="s">
        <v>1859</v>
      </c>
      <c r="C175" s="80">
        <v>-200</v>
      </c>
      <c r="D175" s="80">
        <v>120</v>
      </c>
      <c r="E175" s="80">
        <v>120</v>
      </c>
      <c r="F175" s="80">
        <v>120</v>
      </c>
      <c r="G175" s="227">
        <f>IRR(C175:F175)</f>
        <v>0.36309653946985665</v>
      </c>
    </row>
    <row r="176" spans="1:7" x14ac:dyDescent="0.2">
      <c r="B176" s="80" t="s">
        <v>1860</v>
      </c>
      <c r="C176" s="80">
        <v>-100</v>
      </c>
      <c r="D176" s="80">
        <v>80</v>
      </c>
      <c r="E176" s="80">
        <v>80</v>
      </c>
      <c r="F176" s="80">
        <v>80</v>
      </c>
      <c r="G176" s="227">
        <f>IRR(C176:F176)</f>
        <v>0.60735719639169461</v>
      </c>
    </row>
    <row r="178" spans="1:8" x14ac:dyDescent="0.2">
      <c r="A178" s="43" t="s">
        <v>1961</v>
      </c>
    </row>
    <row r="179" spans="1:8" x14ac:dyDescent="0.2">
      <c r="B179" s="80"/>
      <c r="C179" s="80" t="s">
        <v>1859</v>
      </c>
      <c r="D179" s="80" t="s">
        <v>1860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1962</v>
      </c>
      <c r="D185" s="47" t="s">
        <v>1963</v>
      </c>
      <c r="E185" s="290"/>
      <c r="F185" s="290"/>
      <c r="G185" s="290"/>
    </row>
    <row r="186" spans="1:8" ht="16" thickBot="1" x14ac:dyDescent="0.25">
      <c r="A186" s="43" t="s">
        <v>1964</v>
      </c>
      <c r="C186" s="538">
        <f>NPV(5%,C181:C183)+C180</f>
        <v>126.78976352445738</v>
      </c>
      <c r="D186" s="296">
        <f>NPV(5%,D181:D183)+D180</f>
        <v>117.85984234963826</v>
      </c>
      <c r="E186" s="290" t="s">
        <v>1965</v>
      </c>
      <c r="F186" s="290"/>
      <c r="G186" s="290"/>
    </row>
    <row r="187" spans="1:8" ht="16" thickBot="1" x14ac:dyDescent="0.25">
      <c r="A187" s="43" t="s">
        <v>1966</v>
      </c>
      <c r="C187" s="539">
        <f>NPV(9.7%,C181:C183)+C180</f>
        <v>100.00543737920071</v>
      </c>
      <c r="D187" s="539">
        <f>NPV(9.7%,D181:D183)+D180</f>
        <v>100.00362491946717</v>
      </c>
      <c r="E187" s="290" t="s">
        <v>1967</v>
      </c>
      <c r="F187" s="290"/>
      <c r="G187" s="290"/>
    </row>
    <row r="188" spans="1:8" ht="16" thickBot="1" x14ac:dyDescent="0.25">
      <c r="A188" s="43" t="s">
        <v>1968</v>
      </c>
      <c r="C188" s="296">
        <f>NPV(15%,C181:C183)+C180</f>
        <v>73.987014054409485</v>
      </c>
      <c r="D188" s="540">
        <f>NPV(15%,D181:D183)+D180</f>
        <v>82.658009369606361</v>
      </c>
      <c r="E188" s="290" t="s">
        <v>2349</v>
      </c>
      <c r="F188" s="290"/>
    </row>
    <row r="189" spans="1:8" ht="16" thickBot="1" x14ac:dyDescent="0.25">
      <c r="A189" s="43" t="s">
        <v>1969</v>
      </c>
      <c r="C189" s="296">
        <f>NPV(60.74%,C181:C183)+C180</f>
        <v>-50.006770079154393</v>
      </c>
      <c r="D189" s="540">
        <f>NPV(60.74%,D181:D183)+D180</f>
        <v>-4.5133861029285072E-3</v>
      </c>
      <c r="E189" s="290" t="s">
        <v>1970</v>
      </c>
    </row>
    <row r="191" spans="1:8" x14ac:dyDescent="0.2">
      <c r="A191" s="45" t="s">
        <v>2398</v>
      </c>
      <c r="B191" s="46"/>
      <c r="C191" s="46"/>
      <c r="D191" s="46"/>
      <c r="E191" s="46"/>
      <c r="F191" s="249"/>
      <c r="G191" s="249" t="s">
        <v>2350</v>
      </c>
      <c r="H191" s="46"/>
    </row>
    <row r="192" spans="1:8" x14ac:dyDescent="0.2">
      <c r="A192" s="43" t="s">
        <v>2351</v>
      </c>
    </row>
    <row r="194" spans="1:8" x14ac:dyDescent="0.2">
      <c r="B194" s="80"/>
      <c r="C194" s="80" t="s">
        <v>1859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2352</v>
      </c>
    </row>
    <row r="202" spans="1:8" x14ac:dyDescent="0.2">
      <c r="A202" s="43" t="s">
        <v>2353</v>
      </c>
    </row>
    <row r="203" spans="1:8" x14ac:dyDescent="0.2">
      <c r="A203" s="43" t="s">
        <v>2354</v>
      </c>
    </row>
    <row r="205" spans="1:8" x14ac:dyDescent="0.2">
      <c r="H205" s="43" t="s">
        <v>1971</v>
      </c>
    </row>
    <row r="206" spans="1:8" x14ac:dyDescent="0.2">
      <c r="E206" s="43" t="s">
        <v>1972</v>
      </c>
      <c r="H206" s="43" t="s">
        <v>2400</v>
      </c>
    </row>
    <row r="207" spans="1:8" x14ac:dyDescent="0.2">
      <c r="H207" s="79" t="s">
        <v>1973</v>
      </c>
    </row>
    <row r="209" spans="1:9" x14ac:dyDescent="0.2">
      <c r="H209" s="43" t="s">
        <v>1974</v>
      </c>
    </row>
    <row r="210" spans="1:9" x14ac:dyDescent="0.2">
      <c r="H210" s="43" t="s">
        <v>1933</v>
      </c>
    </row>
    <row r="212" spans="1:9" x14ac:dyDescent="0.2">
      <c r="H212" s="43" t="s">
        <v>2399</v>
      </c>
    </row>
    <row r="213" spans="1:9" x14ac:dyDescent="0.2">
      <c r="H213" s="43" t="s">
        <v>1975</v>
      </c>
    </row>
    <row r="214" spans="1:9" x14ac:dyDescent="0.2">
      <c r="A214" s="43" t="s">
        <v>1976</v>
      </c>
      <c r="H214" s="43" t="s">
        <v>1977</v>
      </c>
    </row>
    <row r="215" spans="1:9" x14ac:dyDescent="0.2">
      <c r="H215" s="43" t="s">
        <v>1978</v>
      </c>
    </row>
    <row r="217" spans="1:9" x14ac:dyDescent="0.2">
      <c r="B217" s="47" t="s">
        <v>1962</v>
      </c>
      <c r="H217" s="43" t="s">
        <v>1979</v>
      </c>
    </row>
    <row r="218" spans="1:9" x14ac:dyDescent="0.2">
      <c r="I218" s="546" t="s">
        <v>1980</v>
      </c>
    </row>
    <row r="224" spans="1:9" x14ac:dyDescent="0.2">
      <c r="A224" s="45" t="s">
        <v>1981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1029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2355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2356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2357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1982</v>
      </c>
    </row>
    <row r="231" spans="1:8" x14ac:dyDescent="0.2">
      <c r="A231" s="43" t="s">
        <v>1983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1873</v>
      </c>
      <c r="H232" s="80" t="s">
        <v>1874</v>
      </c>
    </row>
    <row r="233" spans="1:8" x14ac:dyDescent="0.2">
      <c r="A233" s="80" t="s">
        <v>1859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1860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1861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1875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1876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1877</v>
      </c>
    </row>
    <row r="241" spans="1:10" x14ac:dyDescent="0.2">
      <c r="A241" s="44" t="s">
        <v>111</v>
      </c>
      <c r="B241" s="43" t="s">
        <v>2408</v>
      </c>
    </row>
    <row r="242" spans="1:10" x14ac:dyDescent="0.2">
      <c r="A242" s="44"/>
      <c r="B242" s="43" t="s">
        <v>2409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1873</v>
      </c>
      <c r="H243" s="551" t="s">
        <v>2410</v>
      </c>
      <c r="I243" s="553" t="s">
        <v>2358</v>
      </c>
    </row>
    <row r="244" spans="1:10" x14ac:dyDescent="0.2">
      <c r="A244" s="80" t="s">
        <v>1859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0">
        <f>NPV(10%,C244:F244)+B244</f>
        <v>66.040570999248644</v>
      </c>
      <c r="H244" s="552">
        <f>G244/ABS(B244)</f>
        <v>0.66040570999248649</v>
      </c>
      <c r="I244" s="553">
        <f>RANK(H244,$H$244:$H$248,0)</f>
        <v>2</v>
      </c>
    </row>
    <row r="245" spans="1:10" x14ac:dyDescent="0.2">
      <c r="A245" s="80" t="s">
        <v>1860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0">
        <f>NPV(10%,C245:F245)+B245</f>
        <v>69.247319172187616</v>
      </c>
      <c r="H245" s="552">
        <f t="shared" ref="H245:H248" si="4">G245/ABS(B245)</f>
        <v>0.46164879448125079</v>
      </c>
      <c r="I245" s="553">
        <f t="shared" ref="I245:I248" si="5">RANK(H245,$H$244:$H$248,0)</f>
        <v>3</v>
      </c>
    </row>
    <row r="246" spans="1:10" x14ac:dyDescent="0.2">
      <c r="A246" s="80" t="s">
        <v>1861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0">
        <f t="shared" ref="G246:G248" si="6">NPV(10%,C246:F246)+B246</f>
        <v>122.99023290758822</v>
      </c>
      <c r="H246" s="552">
        <f t="shared" si="4"/>
        <v>0.40996744302529409</v>
      </c>
      <c r="I246" s="553">
        <f t="shared" si="5"/>
        <v>4</v>
      </c>
    </row>
    <row r="247" spans="1:10" x14ac:dyDescent="0.2">
      <c r="A247" s="80" t="s">
        <v>1875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0">
        <f t="shared" si="6"/>
        <v>40.15777610818931</v>
      </c>
      <c r="H247" s="552">
        <f t="shared" si="4"/>
        <v>0.80315552216378616</v>
      </c>
      <c r="I247" s="553">
        <f t="shared" si="5"/>
        <v>1</v>
      </c>
    </row>
    <row r="248" spans="1:10" x14ac:dyDescent="0.2">
      <c r="A248" s="80" t="s">
        <v>1876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0">
        <f t="shared" si="6"/>
        <v>142.03264804316632</v>
      </c>
      <c r="H248" s="552">
        <f t="shared" si="4"/>
        <v>0.28406529608633263</v>
      </c>
      <c r="I248" s="553">
        <f t="shared" si="5"/>
        <v>5</v>
      </c>
      <c r="J248" s="285"/>
    </row>
    <row r="249" spans="1:10" x14ac:dyDescent="0.2">
      <c r="A249" s="44"/>
    </row>
    <row r="250" spans="1:10" x14ac:dyDescent="0.2">
      <c r="A250" s="44" t="s">
        <v>1984</v>
      </c>
    </row>
    <row r="251" spans="1:10" x14ac:dyDescent="0.2">
      <c r="A251" s="43" t="s">
        <v>1985</v>
      </c>
    </row>
    <row r="252" spans="1:10" x14ac:dyDescent="0.2">
      <c r="A252" s="43" t="s">
        <v>1986</v>
      </c>
    </row>
    <row r="254" spans="1:10" x14ac:dyDescent="0.2">
      <c r="A254" s="44" t="s">
        <v>2359</v>
      </c>
    </row>
    <row r="255" spans="1:10" x14ac:dyDescent="0.2">
      <c r="A255" s="44"/>
    </row>
    <row r="256" spans="1:10" x14ac:dyDescent="0.2">
      <c r="A256" s="43" t="s">
        <v>2360</v>
      </c>
    </row>
    <row r="257" spans="1:8" x14ac:dyDescent="0.2">
      <c r="A257" s="43" t="s">
        <v>1987</v>
      </c>
    </row>
    <row r="258" spans="1:8" x14ac:dyDescent="0.2">
      <c r="A258" s="43" t="s">
        <v>2411</v>
      </c>
    </row>
    <row r="260" spans="1:8" x14ac:dyDescent="0.2">
      <c r="A260" s="80"/>
      <c r="B260" s="80" t="s">
        <v>1874</v>
      </c>
      <c r="C260" s="232" t="s">
        <v>1988</v>
      </c>
      <c r="D260" s="232" t="s">
        <v>1989</v>
      </c>
      <c r="E260" s="232" t="s">
        <v>1990</v>
      </c>
    </row>
    <row r="261" spans="1:8" x14ac:dyDescent="0.2">
      <c r="A261" s="286" t="s">
        <v>1875</v>
      </c>
      <c r="B261" s="289">
        <f>H247</f>
        <v>0.80315552216378616</v>
      </c>
      <c r="C261" s="286">
        <f>B247</f>
        <v>-50</v>
      </c>
      <c r="D261" s="286">
        <f>500+C261</f>
        <v>450</v>
      </c>
      <c r="E261" s="287">
        <f>G247</f>
        <v>40.15777610818931</v>
      </c>
    </row>
    <row r="262" spans="1:8" x14ac:dyDescent="0.2">
      <c r="A262" s="286" t="s">
        <v>1859</v>
      </c>
      <c r="B262" s="289">
        <f>H244</f>
        <v>0.66040570999248649</v>
      </c>
      <c r="C262" s="286">
        <f>B244</f>
        <v>-100</v>
      </c>
      <c r="D262" s="286">
        <f>D261+C262</f>
        <v>350</v>
      </c>
      <c r="E262" s="287">
        <f>G244</f>
        <v>66.040570999248644</v>
      </c>
    </row>
    <row r="263" spans="1:8" x14ac:dyDescent="0.2">
      <c r="A263" s="286" t="s">
        <v>1860</v>
      </c>
      <c r="B263" s="289">
        <f>H245</f>
        <v>0.46164879448125079</v>
      </c>
      <c r="C263" s="286">
        <f>B245</f>
        <v>-150</v>
      </c>
      <c r="D263" s="286">
        <f t="shared" ref="D263:D264" si="7">D262+C263</f>
        <v>200</v>
      </c>
      <c r="E263" s="287">
        <f>G245</f>
        <v>69.247319172187616</v>
      </c>
    </row>
    <row r="264" spans="1:8" x14ac:dyDescent="0.2">
      <c r="A264" s="286" t="s">
        <v>1861</v>
      </c>
      <c r="B264" s="289">
        <f>H246</f>
        <v>0.40996744302529409</v>
      </c>
      <c r="C264" s="288">
        <f>-D263</f>
        <v>-200</v>
      </c>
      <c r="D264" s="286">
        <f t="shared" si="7"/>
        <v>0</v>
      </c>
      <c r="E264" s="289">
        <f>G246*C264/B246</f>
        <v>81.993488605058815</v>
      </c>
      <c r="H264" s="43" t="s">
        <v>1991</v>
      </c>
    </row>
    <row r="265" spans="1:8" s="290" customFormat="1" x14ac:dyDescent="0.2">
      <c r="C265" s="29" t="s">
        <v>1992</v>
      </c>
      <c r="D265" s="29"/>
      <c r="E265" s="291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1993</v>
      </c>
    </row>
    <row r="269" spans="1:8" x14ac:dyDescent="0.2">
      <c r="A269" s="43" t="s">
        <v>1994</v>
      </c>
    </row>
    <row r="270" spans="1:8" x14ac:dyDescent="0.2">
      <c r="A270" s="43" t="s">
        <v>1995</v>
      </c>
    </row>
    <row r="271" spans="1:8" x14ac:dyDescent="0.2">
      <c r="A271" s="43" t="s">
        <v>1996</v>
      </c>
    </row>
    <row r="273" spans="1:8" x14ac:dyDescent="0.2">
      <c r="A273" s="44" t="s">
        <v>2412</v>
      </c>
    </row>
    <row r="277" spans="1:8" x14ac:dyDescent="0.2">
      <c r="A277" s="44" t="s">
        <v>1997</v>
      </c>
    </row>
    <row r="281" spans="1:8" x14ac:dyDescent="0.2">
      <c r="A281" s="45" t="s">
        <v>1878</v>
      </c>
      <c r="B281" s="45"/>
      <c r="C281" s="45"/>
      <c r="D281" s="45"/>
      <c r="E281" s="45"/>
      <c r="F281" s="45"/>
      <c r="G281" s="45"/>
      <c r="H281" s="45" t="s">
        <v>780</v>
      </c>
    </row>
    <row r="282" spans="1:8" x14ac:dyDescent="0.2">
      <c r="A282" s="43" t="s">
        <v>1879</v>
      </c>
    </row>
    <row r="283" spans="1:8" x14ac:dyDescent="0.2">
      <c r="A283" s="43" t="s">
        <v>1880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1859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1860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2361</v>
      </c>
      <c r="C290" s="542">
        <f>NPV(10%,D285:H285)+C285</f>
        <v>2.629601803155083</v>
      </c>
    </row>
    <row r="291" spans="1:8" x14ac:dyDescent="0.2">
      <c r="A291" s="43" t="s">
        <v>2362</v>
      </c>
      <c r="C291" s="542">
        <f>NPV(10%,D286:H286)+C286</f>
        <v>274.47206164506861</v>
      </c>
    </row>
    <row r="293" spans="1:8" x14ac:dyDescent="0.2">
      <c r="A293" s="43" t="s">
        <v>2363</v>
      </c>
    </row>
    <row r="296" spans="1:8" x14ac:dyDescent="0.2">
      <c r="A296" s="45" t="s">
        <v>1881</v>
      </c>
      <c r="B296" s="45"/>
      <c r="C296" s="45"/>
      <c r="D296" s="45"/>
      <c r="E296" s="45"/>
      <c r="F296" s="45"/>
      <c r="G296" s="45"/>
      <c r="H296" s="45" t="s">
        <v>780</v>
      </c>
    </row>
    <row r="297" spans="1:8" x14ac:dyDescent="0.2">
      <c r="A297" s="43" t="s">
        <v>1882</v>
      </c>
    </row>
    <row r="298" spans="1:8" x14ac:dyDescent="0.2">
      <c r="A298" s="43" t="s">
        <v>1883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1859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1860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2361</v>
      </c>
      <c r="C307" s="542">
        <f>NPV(10%,D302:H302)+C302</f>
        <v>14.443375079943607</v>
      </c>
      <c r="D307" s="43" t="s">
        <v>2364</v>
      </c>
      <c r="E307" s="161">
        <f>IRR(C302:H302)</f>
        <v>0.20761658990335685</v>
      </c>
    </row>
    <row r="308" spans="1:8" x14ac:dyDescent="0.2">
      <c r="A308" s="43" t="s">
        <v>2362</v>
      </c>
      <c r="C308" s="542">
        <f>NPV(10%,D303:H303)+C303</f>
        <v>13.489441232901363</v>
      </c>
      <c r="D308" s="43" t="s">
        <v>2365</v>
      </c>
      <c r="E308" s="161">
        <f>IRR(C303:H303)</f>
        <v>0.25413002038866117</v>
      </c>
    </row>
    <row r="310" spans="1:8" x14ac:dyDescent="0.2">
      <c r="A310" s="43" t="s">
        <v>2366</v>
      </c>
    </row>
    <row r="311" spans="1:8" x14ac:dyDescent="0.2">
      <c r="A311" s="43" t="s">
        <v>2367</v>
      </c>
    </row>
    <row r="315" spans="1:8" x14ac:dyDescent="0.2">
      <c r="A315" s="45" t="s">
        <v>1998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1999</v>
      </c>
    </row>
    <row r="317" spans="1:8" x14ac:dyDescent="0.2">
      <c r="A317" s="43" t="s">
        <v>1884</v>
      </c>
    </row>
    <row r="318" spans="1:8" x14ac:dyDescent="0.2">
      <c r="A318" s="43" t="s">
        <v>1885</v>
      </c>
    </row>
    <row r="319" spans="1:8" x14ac:dyDescent="0.2">
      <c r="B319" s="80"/>
      <c r="C319" s="80" t="s">
        <v>1886</v>
      </c>
      <c r="D319" s="80" t="s">
        <v>1873</v>
      </c>
      <c r="E319" s="80" t="s">
        <v>1874</v>
      </c>
    </row>
    <row r="320" spans="1:8" x14ac:dyDescent="0.2">
      <c r="B320" s="80" t="s">
        <v>1859</v>
      </c>
      <c r="C320" s="186">
        <v>-50000</v>
      </c>
      <c r="D320" s="186">
        <v>35000</v>
      </c>
      <c r="E320" s="80"/>
    </row>
    <row r="321" spans="1:6" x14ac:dyDescent="0.2">
      <c r="B321" s="80" t="s">
        <v>1860</v>
      </c>
      <c r="C321" s="186">
        <v>-150000</v>
      </c>
      <c r="D321" s="186">
        <v>114000</v>
      </c>
      <c r="E321" s="80"/>
    </row>
    <row r="322" spans="1:6" x14ac:dyDescent="0.2">
      <c r="B322" s="80" t="s">
        <v>1861</v>
      </c>
      <c r="C322" s="186">
        <v>-100000</v>
      </c>
      <c r="D322" s="186">
        <v>56000</v>
      </c>
      <c r="E322" s="80"/>
    </row>
    <row r="323" spans="1:6" x14ac:dyDescent="0.2">
      <c r="B323" s="80" t="s">
        <v>1875</v>
      </c>
      <c r="C323" s="186">
        <v>-50000</v>
      </c>
      <c r="D323" s="186">
        <v>155000</v>
      </c>
      <c r="E323" s="80"/>
    </row>
    <row r="324" spans="1:6" x14ac:dyDescent="0.2">
      <c r="B324" s="80" t="s">
        <v>1876</v>
      </c>
      <c r="C324" s="186">
        <v>-30000</v>
      </c>
      <c r="D324" s="186">
        <v>88000</v>
      </c>
      <c r="E324" s="80"/>
    </row>
    <row r="326" spans="1:6" x14ac:dyDescent="0.2">
      <c r="A326" s="43" t="s">
        <v>2373</v>
      </c>
    </row>
    <row r="327" spans="1:6" x14ac:dyDescent="0.2">
      <c r="A327" s="43" t="s">
        <v>2368</v>
      </c>
    </row>
    <row r="328" spans="1:6" x14ac:dyDescent="0.2">
      <c r="A328" s="43" t="s">
        <v>2369</v>
      </c>
    </row>
    <row r="330" spans="1:6" x14ac:dyDescent="0.2">
      <c r="B330" s="80"/>
      <c r="C330" s="80" t="s">
        <v>1886</v>
      </c>
      <c r="D330" s="80" t="s">
        <v>1873</v>
      </c>
      <c r="E330" s="80" t="s">
        <v>1874</v>
      </c>
      <c r="F330" s="80" t="s">
        <v>2370</v>
      </c>
    </row>
    <row r="331" spans="1:6" x14ac:dyDescent="0.2">
      <c r="B331" s="80" t="s">
        <v>1859</v>
      </c>
      <c r="C331" s="186">
        <v>-50000</v>
      </c>
      <c r="D331" s="186">
        <v>35000</v>
      </c>
      <c r="E331" s="286">
        <f>D331/ABS(C331)</f>
        <v>0.7</v>
      </c>
      <c r="F331" s="286">
        <f>RANK(E331,$E$331:$E$335,0)</f>
        <v>4</v>
      </c>
    </row>
    <row r="332" spans="1:6" x14ac:dyDescent="0.2">
      <c r="B332" s="80" t="s">
        <v>1860</v>
      </c>
      <c r="C332" s="186">
        <v>-150000</v>
      </c>
      <c r="D332" s="186">
        <v>114000</v>
      </c>
      <c r="E332" s="286">
        <f t="shared" ref="E332:E335" si="8">D332/ABS(C332)</f>
        <v>0.76</v>
      </c>
      <c r="F332" s="286">
        <f t="shared" ref="F332:F335" si="9">RANK(E332,$E$331:$E$335,0)</f>
        <v>3</v>
      </c>
    </row>
    <row r="333" spans="1:6" x14ac:dyDescent="0.2">
      <c r="B333" s="80" t="s">
        <v>1861</v>
      </c>
      <c r="C333" s="186">
        <v>-100000</v>
      </c>
      <c r="D333" s="186">
        <v>56000</v>
      </c>
      <c r="E333" s="286">
        <f t="shared" si="8"/>
        <v>0.56000000000000005</v>
      </c>
      <c r="F333" s="286">
        <f t="shared" si="9"/>
        <v>5</v>
      </c>
    </row>
    <row r="334" spans="1:6" x14ac:dyDescent="0.2">
      <c r="B334" s="80" t="s">
        <v>1875</v>
      </c>
      <c r="C334" s="186">
        <v>-50000</v>
      </c>
      <c r="D334" s="186">
        <v>155000</v>
      </c>
      <c r="E334" s="286">
        <f t="shared" si="8"/>
        <v>3.1</v>
      </c>
      <c r="F334" s="286">
        <f t="shared" si="9"/>
        <v>1</v>
      </c>
    </row>
    <row r="335" spans="1:6" x14ac:dyDescent="0.2">
      <c r="B335" s="80" t="s">
        <v>1876</v>
      </c>
      <c r="C335" s="186">
        <v>-30000</v>
      </c>
      <c r="D335" s="186">
        <v>88000</v>
      </c>
      <c r="E335" s="289">
        <f t="shared" si="8"/>
        <v>2.9333333333333331</v>
      </c>
      <c r="F335" s="286">
        <f t="shared" si="9"/>
        <v>2</v>
      </c>
    </row>
    <row r="337" spans="1:8" x14ac:dyDescent="0.2">
      <c r="A337" s="43" t="s">
        <v>2371</v>
      </c>
    </row>
    <row r="338" spans="1:8" x14ac:dyDescent="0.2">
      <c r="A338" s="43" t="s">
        <v>2372</v>
      </c>
    </row>
    <row r="340" spans="1:8" x14ac:dyDescent="0.2">
      <c r="A340" s="80"/>
      <c r="B340" s="80" t="s">
        <v>1874</v>
      </c>
      <c r="C340" s="232" t="s">
        <v>1988</v>
      </c>
      <c r="D340" s="232" t="s">
        <v>1989</v>
      </c>
      <c r="E340" s="232" t="s">
        <v>1990</v>
      </c>
    </row>
    <row r="341" spans="1:8" x14ac:dyDescent="0.2">
      <c r="A341" s="80" t="s">
        <v>1875</v>
      </c>
      <c r="B341" s="289">
        <f>E334</f>
        <v>3.1</v>
      </c>
      <c r="C341" s="292">
        <f>C334</f>
        <v>-50000</v>
      </c>
      <c r="D341" s="292">
        <f>320000+C341</f>
        <v>270000</v>
      </c>
      <c r="E341" s="297">
        <f>D334</f>
        <v>155000</v>
      </c>
    </row>
    <row r="342" spans="1:8" x14ac:dyDescent="0.2">
      <c r="A342" s="80" t="str">
        <f>B335</f>
        <v>E</v>
      </c>
      <c r="B342" s="289">
        <f>E335</f>
        <v>2.9333333333333331</v>
      </c>
      <c r="C342" s="292">
        <f>C335</f>
        <v>-30000</v>
      </c>
      <c r="D342" s="292">
        <f>D341+C342</f>
        <v>240000</v>
      </c>
      <c r="E342" s="297">
        <f>D335</f>
        <v>88000</v>
      </c>
    </row>
    <row r="343" spans="1:8" x14ac:dyDescent="0.2">
      <c r="A343" s="80" t="str">
        <f>B332</f>
        <v>B</v>
      </c>
      <c r="B343" s="289">
        <f>E332</f>
        <v>0.76</v>
      </c>
      <c r="C343" s="292">
        <f>C332</f>
        <v>-150000</v>
      </c>
      <c r="D343" s="292">
        <f t="shared" ref="D343:D344" si="10">D342+C343</f>
        <v>90000</v>
      </c>
      <c r="E343" s="297">
        <f>D332</f>
        <v>114000</v>
      </c>
    </row>
    <row r="344" spans="1:8" x14ac:dyDescent="0.2">
      <c r="A344" s="80" t="s">
        <v>1859</v>
      </c>
      <c r="B344" s="289">
        <f>E331</f>
        <v>0.7</v>
      </c>
      <c r="C344" s="292">
        <f>C331</f>
        <v>-50000</v>
      </c>
      <c r="D344" s="292">
        <f t="shared" si="10"/>
        <v>40000</v>
      </c>
      <c r="E344" s="297">
        <f>D331</f>
        <v>35000</v>
      </c>
    </row>
    <row r="345" spans="1:8" x14ac:dyDescent="0.2">
      <c r="A345" s="80" t="s">
        <v>1861</v>
      </c>
      <c r="B345" s="289">
        <f>E333</f>
        <v>0.56000000000000005</v>
      </c>
      <c r="C345" s="293">
        <f>-D344</f>
        <v>-40000</v>
      </c>
      <c r="D345" s="292">
        <f>D344+C345</f>
        <v>0</v>
      </c>
      <c r="E345" s="297">
        <f>D333*D344/-C333</f>
        <v>22400</v>
      </c>
      <c r="H345" s="43" t="s">
        <v>2000</v>
      </c>
    </row>
    <row r="346" spans="1:8" x14ac:dyDescent="0.2">
      <c r="A346" s="47"/>
      <c r="B346" s="229"/>
      <c r="C346" s="294"/>
      <c r="D346" s="295"/>
      <c r="E346" s="296"/>
    </row>
    <row r="347" spans="1:8" x14ac:dyDescent="0.2">
      <c r="A347" s="290"/>
      <c r="B347" s="290"/>
      <c r="C347" s="29" t="s">
        <v>1992</v>
      </c>
      <c r="D347" s="29"/>
      <c r="E347" s="298">
        <f>SUM(E341:E345)</f>
        <v>414400</v>
      </c>
    </row>
    <row r="349" spans="1:8" x14ac:dyDescent="0.2">
      <c r="A349" s="45" t="s">
        <v>2374</v>
      </c>
      <c r="B349" s="45"/>
      <c r="C349" s="45"/>
      <c r="D349" s="45"/>
      <c r="E349" s="45"/>
      <c r="F349" s="45"/>
      <c r="G349" s="45"/>
      <c r="H349" s="45" t="s">
        <v>780</v>
      </c>
    </row>
    <row r="350" spans="1:8" x14ac:dyDescent="0.2">
      <c r="A350" s="43" t="s">
        <v>1887</v>
      </c>
    </row>
    <row r="352" spans="1:8" x14ac:dyDescent="0.2">
      <c r="F352" s="47" t="s">
        <v>2401</v>
      </c>
      <c r="G352" s="47" t="s">
        <v>2401</v>
      </c>
      <c r="H352" s="47" t="s">
        <v>2405</v>
      </c>
    </row>
    <row r="353" spans="1:8" x14ac:dyDescent="0.2">
      <c r="F353" s="47" t="s">
        <v>2402</v>
      </c>
      <c r="G353" s="47" t="s">
        <v>2404</v>
      </c>
      <c r="H353" s="47" t="s">
        <v>1988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47" t="s">
        <v>2403</v>
      </c>
      <c r="G354" s="49" t="s">
        <v>1867</v>
      </c>
      <c r="H354" s="49" t="s">
        <v>2406</v>
      </c>
    </row>
    <row r="355" spans="1:8" x14ac:dyDescent="0.2">
      <c r="B355" s="80" t="s">
        <v>1859</v>
      </c>
      <c r="C355" s="80">
        <v>-200</v>
      </c>
      <c r="D355" s="80">
        <v>100</v>
      </c>
      <c r="E355" s="80">
        <v>200</v>
      </c>
      <c r="F355" s="548">
        <f>SUM(C355:E355)</f>
        <v>100</v>
      </c>
      <c r="G355" s="549">
        <f>IRR(C355:E355)</f>
        <v>0.28077640640441492</v>
      </c>
      <c r="H355" s="548">
        <f>C355</f>
        <v>-200</v>
      </c>
    </row>
    <row r="356" spans="1:8" x14ac:dyDescent="0.2">
      <c r="B356" s="80" t="s">
        <v>1860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50">
        <f>IRR(C356:E356)</f>
        <v>0.56619037896242497</v>
      </c>
      <c r="H356" s="121">
        <f>C356</f>
        <v>-100</v>
      </c>
    </row>
    <row r="358" spans="1:8" x14ac:dyDescent="0.2">
      <c r="A358" s="43" t="s">
        <v>1888</v>
      </c>
    </row>
    <row r="371" spans="1:8" x14ac:dyDescent="0.2">
      <c r="A371" s="79" t="s">
        <v>2001</v>
      </c>
    </row>
    <row r="373" spans="1:8" x14ac:dyDescent="0.2">
      <c r="A373" s="301" t="s">
        <v>2002</v>
      </c>
    </row>
    <row r="377" spans="1:8" x14ac:dyDescent="0.2">
      <c r="A377" s="43" t="s">
        <v>2003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2004</v>
      </c>
      <c r="G378" s="81" t="s">
        <v>1867</v>
      </c>
      <c r="H378" s="81" t="s">
        <v>2005</v>
      </c>
    </row>
    <row r="379" spans="1:8" x14ac:dyDescent="0.2">
      <c r="B379" s="300" t="s">
        <v>1859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299">
        <f>IRR(C379:E379)</f>
        <v>0.28077640640441492</v>
      </c>
      <c r="H379" s="81">
        <f>C379</f>
        <v>-200</v>
      </c>
    </row>
    <row r="380" spans="1:8" x14ac:dyDescent="0.2">
      <c r="B380" s="288" t="s">
        <v>1860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299">
        <f>IRR(C380:E380)</f>
        <v>0.56619037896242497</v>
      </c>
      <c r="H380" s="81">
        <f>C380</f>
        <v>-100</v>
      </c>
    </row>
    <row r="383" spans="1:8" x14ac:dyDescent="0.2">
      <c r="A383" s="43" t="s">
        <v>2004</v>
      </c>
      <c r="B383" s="43" t="s">
        <v>2006</v>
      </c>
    </row>
    <row r="384" spans="1:8" x14ac:dyDescent="0.2">
      <c r="A384" s="43" t="s">
        <v>1867</v>
      </c>
      <c r="B384" s="43" t="s">
        <v>2007</v>
      </c>
    </row>
    <row r="385" spans="1:9" x14ac:dyDescent="0.2">
      <c r="A385" s="43" t="s">
        <v>2005</v>
      </c>
      <c r="B385" s="43" t="s">
        <v>2008</v>
      </c>
    </row>
    <row r="387" spans="1:9" x14ac:dyDescent="0.2">
      <c r="A387" s="44" t="s">
        <v>2407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2009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2375</v>
      </c>
      <c r="B390" s="45"/>
      <c r="C390" s="45"/>
      <c r="D390" s="45"/>
      <c r="E390" s="45"/>
      <c r="F390" s="45"/>
      <c r="G390" s="45"/>
      <c r="H390" s="45" t="s">
        <v>2376</v>
      </c>
    </row>
    <row r="392" spans="1:9" x14ac:dyDescent="0.2">
      <c r="A392" s="43" t="s">
        <v>2377</v>
      </c>
    </row>
    <row r="393" spans="1:9" x14ac:dyDescent="0.2">
      <c r="D393" s="59" t="s">
        <v>2380</v>
      </c>
      <c r="E393" s="59" t="s">
        <v>2381</v>
      </c>
      <c r="F393" s="59" t="s">
        <v>2382</v>
      </c>
      <c r="G393" s="59" t="s">
        <v>2383</v>
      </c>
      <c r="H393" s="59" t="s">
        <v>2384</v>
      </c>
    </row>
    <row r="394" spans="1:9" x14ac:dyDescent="0.2">
      <c r="B394" s="43" t="s">
        <v>2378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2379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321</v>
      </c>
    </row>
    <row r="398" spans="1:9" x14ac:dyDescent="0.2">
      <c r="A398" s="43" t="s">
        <v>2385</v>
      </c>
    </row>
    <row r="399" spans="1:9" x14ac:dyDescent="0.2">
      <c r="A399" s="43" t="s">
        <v>2386</v>
      </c>
    </row>
    <row r="400" spans="1:9" x14ac:dyDescent="0.2">
      <c r="I400" s="43" t="s">
        <v>1873</v>
      </c>
    </row>
    <row r="401" spans="1:7" x14ac:dyDescent="0.2">
      <c r="A401" s="43" t="s">
        <v>111</v>
      </c>
    </row>
    <row r="403" spans="1:7" x14ac:dyDescent="0.2">
      <c r="A403" s="43" t="s">
        <v>2390</v>
      </c>
    </row>
    <row r="405" spans="1:7" x14ac:dyDescent="0.2">
      <c r="D405" s="545" t="s">
        <v>611</v>
      </c>
      <c r="E405" s="59" t="s">
        <v>610</v>
      </c>
      <c r="F405" s="59" t="s">
        <v>2391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43" t="s">
        <v>87</v>
      </c>
    </row>
    <row r="412" spans="1:7" x14ac:dyDescent="0.2">
      <c r="C412" s="43" t="s">
        <v>2389</v>
      </c>
      <c r="D412" s="43">
        <f>D406</f>
        <v>-1000</v>
      </c>
      <c r="E412" s="43">
        <f>E406</f>
        <v>-4000</v>
      </c>
      <c r="F412" s="43">
        <f>F406</f>
        <v>-3000</v>
      </c>
      <c r="G412" s="544" t="s">
        <v>1962</v>
      </c>
    </row>
    <row r="413" spans="1:7" x14ac:dyDescent="0.2">
      <c r="C413" s="43" t="s">
        <v>2387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2388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43" t="s">
        <v>1963</v>
      </c>
    </row>
    <row r="416" spans="1:7" x14ac:dyDescent="0.2">
      <c r="A416" s="43" t="s">
        <v>2392</v>
      </c>
    </row>
    <row r="417" spans="1:1" x14ac:dyDescent="0.2">
      <c r="A417" s="43" t="s">
        <v>2393</v>
      </c>
    </row>
    <row r="418" spans="1:1" x14ac:dyDescent="0.2">
      <c r="A418" s="43" t="s">
        <v>2394</v>
      </c>
    </row>
    <row r="419" spans="1:1" x14ac:dyDescent="0.2">
      <c r="A419" s="43" t="s">
        <v>2395</v>
      </c>
    </row>
    <row r="420" spans="1:1" x14ac:dyDescent="0.2">
      <c r="A420" s="43" t="s">
        <v>2396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2" t="s">
        <v>2397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1029</v>
      </c>
    </row>
    <row r="4" spans="1:8" s="92" customFormat="1" ht="16" x14ac:dyDescent="0.2">
      <c r="A4" s="92" t="s">
        <v>2010</v>
      </c>
    </row>
    <row r="5" spans="1:8" s="92" customFormat="1" ht="16" x14ac:dyDescent="0.2">
      <c r="A5" s="92" t="s">
        <v>2011</v>
      </c>
    </row>
    <row r="6" spans="1:8" s="92" customFormat="1" ht="16" x14ac:dyDescent="0.2"/>
    <row r="7" spans="1:8" s="92" customFormat="1" ht="16" x14ac:dyDescent="0.2">
      <c r="B7" s="184" t="s">
        <v>564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1900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2012</v>
      </c>
    </row>
    <row r="11" spans="1:8" s="92" customFormat="1" ht="16" x14ac:dyDescent="0.2">
      <c r="A11" s="92" t="s">
        <v>2013</v>
      </c>
    </row>
    <row r="12" spans="1:8" s="92" customFormat="1" ht="16" x14ac:dyDescent="0.2"/>
    <row r="13" spans="1:8" s="92" customFormat="1" ht="16" x14ac:dyDescent="0.2">
      <c r="A13" s="92" t="s">
        <v>2014</v>
      </c>
    </row>
    <row r="14" spans="1:8" s="92" customFormat="1" ht="17" thickBot="1" x14ac:dyDescent="0.25">
      <c r="A14" s="92" t="s">
        <v>2015</v>
      </c>
    </row>
    <row r="15" spans="1:8" s="92" customFormat="1" ht="16" x14ac:dyDescent="0.2">
      <c r="A15" s="92" t="s">
        <v>2016</v>
      </c>
      <c r="C15" s="743" t="s">
        <v>2017</v>
      </c>
      <c r="D15" s="731"/>
      <c r="E15" s="731"/>
      <c r="F15" s="731"/>
      <c r="G15" s="731"/>
      <c r="H15" s="744"/>
    </row>
    <row r="16" spans="1:8" s="92" customFormat="1" ht="17" thickBot="1" x14ac:dyDescent="0.25">
      <c r="A16" s="92" t="s">
        <v>2018</v>
      </c>
      <c r="C16" s="745"/>
      <c r="D16" s="746"/>
      <c r="E16" s="746"/>
      <c r="F16" s="746"/>
      <c r="G16" s="746"/>
      <c r="H16" s="747"/>
    </row>
    <row r="17" spans="1:8" s="92" customFormat="1" ht="16" x14ac:dyDescent="0.2">
      <c r="A17" s="92" t="s">
        <v>2019</v>
      </c>
    </row>
    <row r="18" spans="1:8" s="92" customFormat="1" ht="17" thickBot="1" x14ac:dyDescent="0.25"/>
    <row r="19" spans="1:8" s="92" customFormat="1" ht="16" x14ac:dyDescent="0.2">
      <c r="A19" s="95" t="s">
        <v>2020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2021</v>
      </c>
      <c r="H20" s="99"/>
    </row>
    <row r="21" spans="1:8" s="92" customFormat="1" ht="16" x14ac:dyDescent="0.2">
      <c r="A21" s="98" t="s">
        <v>2022</v>
      </c>
      <c r="H21" s="99"/>
    </row>
    <row r="22" spans="1:8" s="92" customFormat="1" ht="17" thickBot="1" x14ac:dyDescent="0.25">
      <c r="A22" s="100" t="s">
        <v>2023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1" t="s">
        <v>2024</v>
      </c>
      <c r="B24" s="251"/>
      <c r="C24" s="251"/>
      <c r="D24" s="251"/>
      <c r="E24" s="251"/>
      <c r="F24" s="251"/>
      <c r="G24" s="251"/>
      <c r="H24" s="251"/>
    </row>
    <row r="25" spans="1:8" s="92" customFormat="1" ht="16" x14ac:dyDescent="0.2"/>
    <row r="26" spans="1:8" s="92" customFormat="1" ht="16" x14ac:dyDescent="0.2">
      <c r="A26" s="92" t="s">
        <v>2025</v>
      </c>
    </row>
    <row r="27" spans="1:8" s="92" customFormat="1" ht="16" x14ac:dyDescent="0.2">
      <c r="A27" s="92" t="s">
        <v>2026</v>
      </c>
    </row>
    <row r="28" spans="1:8" s="92" customFormat="1" ht="16" x14ac:dyDescent="0.2">
      <c r="A28" s="92" t="s">
        <v>2027</v>
      </c>
    </row>
    <row r="29" spans="1:8" s="92" customFormat="1" ht="16" x14ac:dyDescent="0.2">
      <c r="A29" s="92" t="s">
        <v>2028</v>
      </c>
    </row>
    <row r="30" spans="1:8" s="92" customFormat="1" ht="16" x14ac:dyDescent="0.2">
      <c r="A30" s="92" t="s">
        <v>2029</v>
      </c>
    </row>
    <row r="31" spans="1:8" s="92" customFormat="1" ht="16" x14ac:dyDescent="0.2">
      <c r="A31" s="92" t="s">
        <v>2030</v>
      </c>
    </row>
    <row r="32" spans="1:8" s="92" customFormat="1" ht="16" x14ac:dyDescent="0.2">
      <c r="A32" s="92" t="s">
        <v>2031</v>
      </c>
    </row>
    <row r="33" spans="1:7" s="92" customFormat="1" ht="16" x14ac:dyDescent="0.2">
      <c r="A33" s="92" t="s">
        <v>2032</v>
      </c>
    </row>
    <row r="34" spans="1:7" s="92" customFormat="1" ht="16" x14ac:dyDescent="0.2">
      <c r="A34" s="92" t="s">
        <v>2033</v>
      </c>
    </row>
    <row r="35" spans="1:7" s="92" customFormat="1" ht="16" x14ac:dyDescent="0.2">
      <c r="A35" s="92" t="s">
        <v>2034</v>
      </c>
    </row>
    <row r="36" spans="1:7" s="92" customFormat="1" ht="16" x14ac:dyDescent="0.2">
      <c r="A36" s="92" t="s">
        <v>2035</v>
      </c>
    </row>
    <row r="37" spans="1:7" s="92" customFormat="1" ht="16" x14ac:dyDescent="0.2">
      <c r="A37" s="92" t="s">
        <v>2036</v>
      </c>
    </row>
    <row r="38" spans="1:7" s="92" customFormat="1" ht="16" x14ac:dyDescent="0.2">
      <c r="A38" s="92" t="s">
        <v>2037</v>
      </c>
    </row>
    <row r="39" spans="1:7" s="92" customFormat="1" ht="16" x14ac:dyDescent="0.2">
      <c r="A39" s="92" t="s">
        <v>2038</v>
      </c>
    </row>
    <row r="40" spans="1:7" s="92" customFormat="1" ht="16" x14ac:dyDescent="0.2">
      <c r="A40" s="92" t="s">
        <v>2039</v>
      </c>
    </row>
    <row r="41" spans="1:7" s="92" customFormat="1" ht="16" x14ac:dyDescent="0.2"/>
    <row r="42" spans="1:7" s="92" customFormat="1" ht="16" x14ac:dyDescent="0.2">
      <c r="A42" s="93" t="s">
        <v>2040</v>
      </c>
      <c r="B42" s="93"/>
      <c r="C42" s="93"/>
      <c r="D42" s="93"/>
      <c r="E42" s="93"/>
    </row>
    <row r="43" spans="1:7" s="92" customFormat="1" ht="16" x14ac:dyDescent="0.2">
      <c r="A43" s="93" t="s">
        <v>2041</v>
      </c>
    </row>
    <row r="44" spans="1:7" s="92" customFormat="1" ht="16" x14ac:dyDescent="0.2">
      <c r="A44" s="93" t="s">
        <v>2042</v>
      </c>
    </row>
    <row r="45" spans="1:7" s="92" customFormat="1" ht="16" x14ac:dyDescent="0.2"/>
    <row r="46" spans="1:7" s="92" customFormat="1" ht="16" x14ac:dyDescent="0.2">
      <c r="A46" s="252" t="s">
        <v>2043</v>
      </c>
      <c r="B46" s="252"/>
      <c r="C46" s="252"/>
      <c r="D46" s="252"/>
      <c r="E46" s="252"/>
      <c r="F46" s="252"/>
      <c r="G46" s="252"/>
    </row>
    <row r="47" spans="1:7" s="92" customFormat="1" ht="16" x14ac:dyDescent="0.2"/>
    <row r="48" spans="1:7" s="92" customFormat="1" ht="16" x14ac:dyDescent="0.2">
      <c r="A48" s="93" t="s">
        <v>2044</v>
      </c>
    </row>
    <row r="49" spans="1:7" s="92" customFormat="1" ht="16" x14ac:dyDescent="0.2"/>
    <row r="50" spans="1:7" s="92" customFormat="1" ht="16" x14ac:dyDescent="0.2">
      <c r="A50" s="92" t="s">
        <v>2045</v>
      </c>
      <c r="C50" s="253">
        <v>240000</v>
      </c>
      <c r="D50" s="92" t="s">
        <v>2046</v>
      </c>
    </row>
    <row r="51" spans="1:7" s="92" customFormat="1" ht="16" x14ac:dyDescent="0.2">
      <c r="A51" s="92" t="s">
        <v>2047</v>
      </c>
      <c r="C51" s="303">
        <f>-10000-22000</f>
        <v>-32000</v>
      </c>
      <c r="F51" s="92" t="s">
        <v>2048</v>
      </c>
      <c r="G51" s="92" t="s">
        <v>2049</v>
      </c>
    </row>
    <row r="52" spans="1:7" s="92" customFormat="1" ht="16" x14ac:dyDescent="0.2">
      <c r="A52" s="92" t="s">
        <v>2050</v>
      </c>
      <c r="C52" s="304">
        <v>-200000</v>
      </c>
      <c r="F52" s="92" t="s">
        <v>2051</v>
      </c>
      <c r="G52" s="92" t="s">
        <v>2052</v>
      </c>
    </row>
    <row r="53" spans="1:7" s="92" customFormat="1" ht="16" x14ac:dyDescent="0.2">
      <c r="A53" s="93" t="s">
        <v>2053</v>
      </c>
      <c r="B53" s="93"/>
      <c r="C53" s="305">
        <f>C50+C51+C52</f>
        <v>8000</v>
      </c>
      <c r="F53" s="92" t="s">
        <v>2054</v>
      </c>
    </row>
    <row r="54" spans="1:7" s="92" customFormat="1" ht="17" thickBot="1" x14ac:dyDescent="0.25">
      <c r="A54" s="92" t="s">
        <v>2055</v>
      </c>
      <c r="C54" s="132">
        <v>0.3</v>
      </c>
      <c r="E54" s="92" t="s">
        <v>2056</v>
      </c>
    </row>
    <row r="55" spans="1:7" s="92" customFormat="1" ht="17" thickBot="1" x14ac:dyDescent="0.25">
      <c r="A55" s="92" t="s">
        <v>2057</v>
      </c>
      <c r="C55" s="255">
        <f>C53*C54</f>
        <v>2400</v>
      </c>
      <c r="F55" s="92" t="s">
        <v>2058</v>
      </c>
    </row>
    <row r="56" spans="1:7" s="92" customFormat="1" ht="16" x14ac:dyDescent="0.2"/>
    <row r="57" spans="1:7" s="92" customFormat="1" ht="16" x14ac:dyDescent="0.2">
      <c r="A57" s="93" t="s">
        <v>2059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2060</v>
      </c>
      <c r="B60" s="304">
        <f>-1000000</f>
        <v>-1000000</v>
      </c>
      <c r="C60" s="304"/>
      <c r="D60" s="304"/>
      <c r="E60" s="304"/>
      <c r="F60" s="304"/>
      <c r="G60" s="304"/>
    </row>
    <row r="61" spans="1:7" s="306" customFormat="1" ht="16" x14ac:dyDescent="0.2">
      <c r="A61" s="306" t="s">
        <v>2061</v>
      </c>
      <c r="B61" s="307"/>
      <c r="C61" s="308">
        <f>C50</f>
        <v>240000</v>
      </c>
      <c r="D61" s="308">
        <f t="shared" ref="D61:G63" si="0">C61</f>
        <v>240000</v>
      </c>
      <c r="E61" s="308">
        <f t="shared" si="0"/>
        <v>240000</v>
      </c>
      <c r="F61" s="308">
        <f t="shared" si="0"/>
        <v>240000</v>
      </c>
      <c r="G61" s="308">
        <f t="shared" si="0"/>
        <v>240000</v>
      </c>
    </row>
    <row r="62" spans="1:7" s="306" customFormat="1" ht="16" x14ac:dyDescent="0.2">
      <c r="A62" s="306" t="s">
        <v>2062</v>
      </c>
      <c r="B62" s="307"/>
      <c r="C62" s="308">
        <f>C51</f>
        <v>-32000</v>
      </c>
      <c r="D62" s="308">
        <f t="shared" si="0"/>
        <v>-32000</v>
      </c>
      <c r="E62" s="308">
        <f t="shared" si="0"/>
        <v>-32000</v>
      </c>
      <c r="F62" s="308">
        <f t="shared" si="0"/>
        <v>-32000</v>
      </c>
      <c r="G62" s="308">
        <f t="shared" si="0"/>
        <v>-32000</v>
      </c>
    </row>
    <row r="63" spans="1:7" s="306" customFormat="1" ht="16" x14ac:dyDescent="0.2">
      <c r="A63" s="306" t="s">
        <v>2063</v>
      </c>
      <c r="B63" s="307"/>
      <c r="C63" s="309">
        <f>-C55</f>
        <v>-2400</v>
      </c>
      <c r="D63" s="309">
        <f t="shared" si="0"/>
        <v>-2400</v>
      </c>
      <c r="E63" s="309">
        <f t="shared" si="0"/>
        <v>-2400</v>
      </c>
      <c r="F63" s="309">
        <f t="shared" si="0"/>
        <v>-2400</v>
      </c>
      <c r="G63" s="309">
        <f t="shared" si="0"/>
        <v>-2400</v>
      </c>
    </row>
    <row r="64" spans="1:7" s="306" customFormat="1" ht="16" x14ac:dyDescent="0.2">
      <c r="A64" s="306" t="s">
        <v>2064</v>
      </c>
      <c r="B64" s="307">
        <v>-35000</v>
      </c>
      <c r="C64" s="307"/>
      <c r="D64" s="307"/>
      <c r="E64" s="307"/>
      <c r="F64" s="307"/>
      <c r="G64" s="307">
        <f>-B64</f>
        <v>35000</v>
      </c>
    </row>
    <row r="65" spans="1:7" s="306" customFormat="1" ht="16" x14ac:dyDescent="0.2">
      <c r="A65" s="306" t="s">
        <v>2065</v>
      </c>
      <c r="B65" s="307"/>
      <c r="C65" s="307"/>
      <c r="D65" s="307"/>
      <c r="E65" s="307"/>
      <c r="F65" s="307"/>
      <c r="G65" s="307">
        <v>44000</v>
      </c>
    </row>
    <row r="66" spans="1:7" s="306" customFormat="1" ht="17" thickBot="1" x14ac:dyDescent="0.25">
      <c r="A66" s="306" t="s">
        <v>2066</v>
      </c>
      <c r="B66" s="307"/>
      <c r="C66" s="307"/>
      <c r="D66" s="307"/>
      <c r="E66" s="307"/>
      <c r="F66" s="307"/>
      <c r="G66" s="310">
        <f>-20%*44000</f>
        <v>-8800</v>
      </c>
    </row>
    <row r="67" spans="1:7" s="92" customFormat="1" ht="17" thickBot="1" x14ac:dyDescent="0.25">
      <c r="A67" s="92" t="s">
        <v>2067</v>
      </c>
      <c r="B67" s="312">
        <f t="shared" ref="B67:G67" si="1">SUM(B60:B66)</f>
        <v>-1035000</v>
      </c>
      <c r="C67" s="312">
        <f t="shared" si="1"/>
        <v>205600</v>
      </c>
      <c r="D67" s="312">
        <f t="shared" si="1"/>
        <v>205600</v>
      </c>
      <c r="E67" s="312">
        <f t="shared" si="1"/>
        <v>205600</v>
      </c>
      <c r="F67" s="312">
        <f t="shared" si="1"/>
        <v>205600</v>
      </c>
      <c r="G67" s="313">
        <f t="shared" si="1"/>
        <v>275800</v>
      </c>
    </row>
    <row r="68" spans="1:7" s="92" customFormat="1" ht="16" x14ac:dyDescent="0.2"/>
    <row r="69" spans="1:7" s="92" customFormat="1" ht="16" x14ac:dyDescent="0.2">
      <c r="A69" s="311" t="s">
        <v>2068</v>
      </c>
      <c r="B69" s="311"/>
      <c r="C69" s="311"/>
      <c r="D69" s="311"/>
      <c r="E69" s="311"/>
      <c r="F69" s="311"/>
      <c r="G69" s="311"/>
    </row>
    <row r="70" spans="1:7" s="92" customFormat="1" ht="16" x14ac:dyDescent="0.2">
      <c r="A70" s="311" t="s">
        <v>2069</v>
      </c>
      <c r="B70" s="311"/>
      <c r="C70" s="311"/>
      <c r="D70" s="311"/>
      <c r="E70" s="311"/>
      <c r="F70" s="311" t="s">
        <v>2070</v>
      </c>
      <c r="G70" s="311"/>
    </row>
    <row r="71" spans="1:7" s="92" customFormat="1" ht="16" x14ac:dyDescent="0.2"/>
    <row r="72" spans="1:7" s="92" customFormat="1" ht="16" x14ac:dyDescent="0.2">
      <c r="A72" s="93" t="s">
        <v>2071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4">
        <f>NPV(8%,D78:D82)+D77</f>
        <v>-166321.87594497646</v>
      </c>
      <c r="B76" s="92" t="s">
        <v>2072</v>
      </c>
      <c r="D76" s="110" t="s">
        <v>828</v>
      </c>
      <c r="E76" s="110" t="s">
        <v>564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2073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2074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2" t="s">
        <v>2075</v>
      </c>
      <c r="B84" s="252"/>
      <c r="C84" s="252"/>
      <c r="D84" s="252"/>
      <c r="E84" s="252"/>
      <c r="F84" s="252"/>
      <c r="G84" s="252"/>
    </row>
    <row r="85" spans="1:7" s="92" customFormat="1" ht="16" x14ac:dyDescent="0.2"/>
    <row r="86" spans="1:7" s="92" customFormat="1" ht="16" x14ac:dyDescent="0.2">
      <c r="A86" s="92" t="s">
        <v>2076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2077</v>
      </c>
      <c r="D89" s="92" t="s">
        <v>2078</v>
      </c>
    </row>
    <row r="90" spans="1:7" s="92" customFormat="1" ht="16" x14ac:dyDescent="0.2">
      <c r="B90" s="256">
        <v>240000</v>
      </c>
      <c r="D90" s="256">
        <v>240000</v>
      </c>
    </row>
    <row r="91" spans="1:7" s="92" customFormat="1" ht="16" x14ac:dyDescent="0.2">
      <c r="B91" s="254">
        <v>-32000</v>
      </c>
      <c r="D91" s="254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2079</v>
      </c>
      <c r="B95" s="92">
        <v>-8800</v>
      </c>
      <c r="D95" s="92">
        <v>0</v>
      </c>
    </row>
    <row r="96" spans="1:7" s="92" customFormat="1" ht="17" thickBot="1" x14ac:dyDescent="0.25">
      <c r="B96" s="257">
        <v>275800</v>
      </c>
      <c r="D96" s="259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8">
        <f>NPV(8%,D101:D105)+D100</f>
        <v>-160332.7438110793</v>
      </c>
      <c r="B99" s="92" t="s">
        <v>2072</v>
      </c>
      <c r="D99" s="110" t="s">
        <v>2080</v>
      </c>
      <c r="E99" s="110" t="s">
        <v>564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2081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5" t="s">
        <v>2082</v>
      </c>
      <c r="D105" s="260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1" t="s">
        <v>2083</v>
      </c>
      <c r="B107" s="251"/>
      <c r="C107" s="251"/>
      <c r="D107" s="251"/>
      <c r="E107" s="251"/>
      <c r="F107" s="251"/>
      <c r="G107" s="251"/>
      <c r="H107" s="251"/>
    </row>
    <row r="108" spans="1:8" s="92" customFormat="1" ht="16" x14ac:dyDescent="0.2">
      <c r="A108" s="92" t="s">
        <v>2084</v>
      </c>
    </row>
    <row r="109" spans="1:8" s="92" customFormat="1" ht="16" x14ac:dyDescent="0.2">
      <c r="A109" s="92" t="s">
        <v>2085</v>
      </c>
    </row>
    <row r="110" spans="1:8" s="92" customFormat="1" ht="16" x14ac:dyDescent="0.2">
      <c r="A110" s="92" t="s">
        <v>2086</v>
      </c>
    </row>
    <row r="111" spans="1:8" s="92" customFormat="1" ht="16" x14ac:dyDescent="0.2">
      <c r="A111" s="92" t="s">
        <v>2087</v>
      </c>
    </row>
    <row r="112" spans="1:8" s="92" customFormat="1" ht="16" x14ac:dyDescent="0.2">
      <c r="A112" s="92" t="s">
        <v>2088</v>
      </c>
    </row>
    <row r="113" spans="1:10" s="92" customFormat="1" ht="16" x14ac:dyDescent="0.2">
      <c r="A113" s="92" t="s">
        <v>2089</v>
      </c>
    </row>
    <row r="114" spans="1:10" s="92" customFormat="1" ht="16" x14ac:dyDescent="0.2">
      <c r="A114" s="92" t="s">
        <v>2090</v>
      </c>
    </row>
    <row r="115" spans="1:10" s="92" customFormat="1" ht="16" x14ac:dyDescent="0.2"/>
    <row r="116" spans="1:10" s="92" customFormat="1" ht="16" x14ac:dyDescent="0.2">
      <c r="A116" s="92" t="s">
        <v>2091</v>
      </c>
    </row>
    <row r="117" spans="1:10" s="92" customFormat="1" ht="16" x14ac:dyDescent="0.2">
      <c r="A117" s="92" t="s">
        <v>2092</v>
      </c>
    </row>
    <row r="118" spans="1:10" s="92" customFormat="1" ht="16" x14ac:dyDescent="0.2"/>
    <row r="119" spans="1:10" s="92" customFormat="1" ht="16" x14ac:dyDescent="0.2">
      <c r="A119" s="93" t="s">
        <v>2093</v>
      </c>
    </row>
    <row r="120" spans="1:10" s="92" customFormat="1" ht="16" x14ac:dyDescent="0.2"/>
    <row r="121" spans="1:10" s="92" customFormat="1" ht="16" x14ac:dyDescent="0.2">
      <c r="F121" s="261" t="s">
        <v>2094</v>
      </c>
      <c r="G121" s="261" t="s">
        <v>2095</v>
      </c>
    </row>
    <row r="122" spans="1:10" s="92" customFormat="1" ht="16" x14ac:dyDescent="0.2">
      <c r="A122" s="93" t="s">
        <v>2096</v>
      </c>
      <c r="C122" s="92" t="s">
        <v>2097</v>
      </c>
      <c r="F122" s="105" t="s">
        <v>2098</v>
      </c>
      <c r="G122" s="262">
        <v>320000</v>
      </c>
    </row>
    <row r="123" spans="1:10" s="92" customFormat="1" ht="16" x14ac:dyDescent="0.2">
      <c r="A123" s="93" t="s">
        <v>2099</v>
      </c>
      <c r="C123" s="92" t="s">
        <v>2100</v>
      </c>
      <c r="F123" s="105" t="s">
        <v>2101</v>
      </c>
      <c r="G123" s="263">
        <f>-(75000+60000)</f>
        <v>-135000</v>
      </c>
      <c r="J123" s="92" t="s">
        <v>2102</v>
      </c>
    </row>
    <row r="124" spans="1:10" s="92" customFormat="1" ht="16" x14ac:dyDescent="0.2">
      <c r="A124" s="93" t="s">
        <v>2103</v>
      </c>
      <c r="C124" s="92" t="s">
        <v>2104</v>
      </c>
      <c r="F124" s="105" t="s">
        <v>2101</v>
      </c>
      <c r="G124" s="264">
        <f>-50000</f>
        <v>-50000</v>
      </c>
      <c r="J124" s="92" t="s">
        <v>2105</v>
      </c>
    </row>
    <row r="125" spans="1:10" s="92" customFormat="1" ht="16" x14ac:dyDescent="0.2">
      <c r="A125" s="93" t="s">
        <v>2106</v>
      </c>
      <c r="C125" s="92" t="s">
        <v>2107</v>
      </c>
      <c r="F125" s="105" t="s">
        <v>1211</v>
      </c>
      <c r="G125" s="264">
        <f>SUM(G122:G124)</f>
        <v>135000</v>
      </c>
    </row>
    <row r="126" spans="1:10" s="92" customFormat="1" ht="16" x14ac:dyDescent="0.2">
      <c r="A126" s="93" t="s">
        <v>2108</v>
      </c>
      <c r="C126" s="92" t="s">
        <v>2055</v>
      </c>
      <c r="F126" s="105" t="s">
        <v>2109</v>
      </c>
      <c r="G126" s="265">
        <v>0.3</v>
      </c>
    </row>
    <row r="127" spans="1:10" s="92" customFormat="1" ht="17" thickBot="1" x14ac:dyDescent="0.25">
      <c r="C127" s="92" t="s">
        <v>2110</v>
      </c>
      <c r="F127" s="266" t="s">
        <v>2101</v>
      </c>
      <c r="G127" s="267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775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2111</v>
      </c>
      <c r="C130" s="316" t="s">
        <v>2060</v>
      </c>
      <c r="D130" s="268">
        <v>-250000</v>
      </c>
      <c r="E130" s="269"/>
      <c r="F130" s="269"/>
      <c r="G130" s="269"/>
      <c r="H130" s="269"/>
      <c r="I130" s="269"/>
    </row>
    <row r="131" spans="1:9" s="92" customFormat="1" ht="16" x14ac:dyDescent="0.2">
      <c r="A131" s="93" t="s">
        <v>2112</v>
      </c>
      <c r="C131" s="316" t="s">
        <v>2045</v>
      </c>
      <c r="D131" s="269"/>
      <c r="E131" s="270">
        <f>G122</f>
        <v>320000</v>
      </c>
      <c r="F131" s="270">
        <f t="shared" ref="F131:I132" si="4">E131</f>
        <v>320000</v>
      </c>
      <c r="G131" s="270">
        <f t="shared" si="4"/>
        <v>320000</v>
      </c>
      <c r="H131" s="270">
        <f t="shared" si="4"/>
        <v>320000</v>
      </c>
      <c r="I131" s="270">
        <f t="shared" si="4"/>
        <v>320000</v>
      </c>
    </row>
    <row r="132" spans="1:9" s="92" customFormat="1" ht="16" x14ac:dyDescent="0.2">
      <c r="A132" s="93" t="s">
        <v>2113</v>
      </c>
      <c r="C132" s="316" t="s">
        <v>2114</v>
      </c>
      <c r="D132" s="269"/>
      <c r="E132" s="271">
        <f>G123</f>
        <v>-135000</v>
      </c>
      <c r="F132" s="271">
        <f t="shared" si="4"/>
        <v>-135000</v>
      </c>
      <c r="G132" s="271">
        <f t="shared" si="4"/>
        <v>-135000</v>
      </c>
      <c r="H132" s="271">
        <f t="shared" si="4"/>
        <v>-135000</v>
      </c>
      <c r="I132" s="271">
        <f t="shared" si="4"/>
        <v>-135000</v>
      </c>
    </row>
    <row r="133" spans="1:9" s="92" customFormat="1" ht="16" x14ac:dyDescent="0.2">
      <c r="A133" s="93" t="s">
        <v>2115</v>
      </c>
      <c r="C133" s="317" t="s">
        <v>2110</v>
      </c>
      <c r="D133" s="269"/>
      <c r="E133" s="273">
        <f>G127</f>
        <v>-40500</v>
      </c>
      <c r="F133" s="273">
        <f>G127</f>
        <v>-40500</v>
      </c>
      <c r="G133" s="273">
        <f>G127</f>
        <v>-40500</v>
      </c>
      <c r="H133" s="273">
        <f>G133</f>
        <v>-40500</v>
      </c>
      <c r="I133" s="273">
        <f>H133</f>
        <v>-40500</v>
      </c>
    </row>
    <row r="134" spans="1:9" s="92" customFormat="1" ht="16" x14ac:dyDescent="0.2">
      <c r="A134" s="93" t="s">
        <v>2116</v>
      </c>
      <c r="C134" s="316" t="s">
        <v>2064</v>
      </c>
      <c r="D134" s="268">
        <f>-40000</f>
        <v>-40000</v>
      </c>
      <c r="E134" s="269"/>
      <c r="F134" s="269"/>
      <c r="G134" s="269"/>
      <c r="H134" s="269"/>
      <c r="I134" s="268">
        <f>-D134</f>
        <v>40000</v>
      </c>
    </row>
    <row r="135" spans="1:9" s="92" customFormat="1" ht="16" x14ac:dyDescent="0.2">
      <c r="C135" s="316" t="s">
        <v>2065</v>
      </c>
      <c r="D135" s="269"/>
      <c r="E135" s="269"/>
      <c r="F135" s="269"/>
      <c r="G135" s="269"/>
      <c r="H135" s="269"/>
      <c r="I135" s="268">
        <v>70000</v>
      </c>
    </row>
    <row r="136" spans="1:9" s="92" customFormat="1" ht="16" x14ac:dyDescent="0.2">
      <c r="C136" s="316" t="s">
        <v>2066</v>
      </c>
      <c r="D136" s="269"/>
      <c r="E136" s="269"/>
      <c r="F136" s="269"/>
      <c r="G136" s="269"/>
      <c r="H136" s="269"/>
      <c r="I136" s="268">
        <f>-15%*70000</f>
        <v>-10500</v>
      </c>
    </row>
    <row r="137" spans="1:9" s="92" customFormat="1" ht="22" thickBot="1" x14ac:dyDescent="0.3">
      <c r="C137" s="274" t="s">
        <v>2117</v>
      </c>
      <c r="D137" s="275">
        <f t="shared" ref="D137:I137" si="5">SUM(D130:D136)</f>
        <v>-290000</v>
      </c>
      <c r="E137" s="275">
        <f t="shared" si="5"/>
        <v>144500</v>
      </c>
      <c r="F137" s="275">
        <f t="shared" si="5"/>
        <v>144500</v>
      </c>
      <c r="G137" s="275">
        <f t="shared" si="5"/>
        <v>144500</v>
      </c>
      <c r="H137" s="275">
        <f t="shared" si="5"/>
        <v>144500</v>
      </c>
      <c r="I137" s="275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2118</v>
      </c>
      <c r="C139" s="92" t="s">
        <v>2119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2120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828</v>
      </c>
      <c r="G144" s="111" t="s">
        <v>564</v>
      </c>
    </row>
    <row r="145" spans="1:9" s="92" customFormat="1" ht="16" x14ac:dyDescent="0.2">
      <c r="F145" s="264">
        <f>D137</f>
        <v>-290000</v>
      </c>
      <c r="G145" s="92">
        <v>0</v>
      </c>
    </row>
    <row r="146" spans="1:9" s="92" customFormat="1" ht="16" x14ac:dyDescent="0.2">
      <c r="F146" s="264">
        <f>E137</f>
        <v>144500</v>
      </c>
      <c r="G146" s="92">
        <f>G145+1</f>
        <v>1</v>
      </c>
    </row>
    <row r="147" spans="1:9" s="92" customFormat="1" ht="16" x14ac:dyDescent="0.2">
      <c r="F147" s="264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4">
        <f>G137</f>
        <v>144500</v>
      </c>
      <c r="G148" s="92">
        <f t="shared" si="6"/>
        <v>3</v>
      </c>
    </row>
    <row r="149" spans="1:9" s="92" customFormat="1" ht="16" x14ac:dyDescent="0.2">
      <c r="F149" s="264">
        <f>H137</f>
        <v>144500</v>
      </c>
      <c r="G149" s="92">
        <f t="shared" si="6"/>
        <v>4</v>
      </c>
    </row>
    <row r="150" spans="1:9" s="92" customFormat="1" ht="16" x14ac:dyDescent="0.2">
      <c r="F150" s="264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6">
        <f>NPV(10%,F146:F150)+F145</f>
        <v>319550.35982390644</v>
      </c>
      <c r="I152" s="92" t="s">
        <v>2121</v>
      </c>
    </row>
    <row r="153" spans="1:9" s="92" customFormat="1" ht="16" x14ac:dyDescent="0.2"/>
    <row r="154" spans="1:9" s="92" customFormat="1" ht="16" x14ac:dyDescent="0.2">
      <c r="C154" s="93" t="s">
        <v>2122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2123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1" t="s">
        <v>2124</v>
      </c>
      <c r="B158" s="254"/>
      <c r="C158" s="254"/>
      <c r="D158" s="254"/>
      <c r="E158" s="254"/>
      <c r="F158" s="254"/>
      <c r="G158" s="254"/>
      <c r="H158" s="254"/>
    </row>
    <row r="159" spans="1:9" s="92" customFormat="1" ht="16" x14ac:dyDescent="0.2">
      <c r="A159" s="92" t="s">
        <v>2125</v>
      </c>
    </row>
    <row r="160" spans="1:9" s="92" customFormat="1" ht="16" x14ac:dyDescent="0.2">
      <c r="A160" s="92" t="s">
        <v>2126</v>
      </c>
    </row>
    <row r="161" spans="1:10" s="92" customFormat="1" ht="16" x14ac:dyDescent="0.2">
      <c r="A161" s="92" t="s">
        <v>2127</v>
      </c>
    </row>
    <row r="162" spans="1:10" s="92" customFormat="1" ht="16" x14ac:dyDescent="0.2">
      <c r="A162" s="92" t="s">
        <v>2128</v>
      </c>
    </row>
    <row r="163" spans="1:10" s="92" customFormat="1" ht="16" x14ac:dyDescent="0.2">
      <c r="A163" s="92" t="s">
        <v>2129</v>
      </c>
    </row>
    <row r="164" spans="1:10" s="92" customFormat="1" ht="16" x14ac:dyDescent="0.2">
      <c r="A164" s="92" t="s">
        <v>2130</v>
      </c>
    </row>
    <row r="165" spans="1:10" s="92" customFormat="1" ht="16" x14ac:dyDescent="0.2">
      <c r="A165" s="92" t="s">
        <v>2131</v>
      </c>
    </row>
    <row r="166" spans="1:10" s="92" customFormat="1" ht="16" x14ac:dyDescent="0.2">
      <c r="A166" s="92" t="s">
        <v>2132</v>
      </c>
    </row>
    <row r="167" spans="1:10" s="92" customFormat="1" ht="16" x14ac:dyDescent="0.2">
      <c r="A167" s="92" t="s">
        <v>2133</v>
      </c>
    </row>
    <row r="168" spans="1:10" s="92" customFormat="1" ht="16" x14ac:dyDescent="0.2"/>
    <row r="169" spans="1:10" s="92" customFormat="1" ht="16" x14ac:dyDescent="0.2">
      <c r="F169" s="261" t="s">
        <v>2094</v>
      </c>
      <c r="G169" s="261" t="s">
        <v>2095</v>
      </c>
    </row>
    <row r="170" spans="1:10" s="92" customFormat="1" ht="16" x14ac:dyDescent="0.2">
      <c r="A170" s="93" t="s">
        <v>2096</v>
      </c>
      <c r="C170" s="92" t="s">
        <v>2097</v>
      </c>
      <c r="F170" s="105" t="s">
        <v>2098</v>
      </c>
      <c r="G170" s="262">
        <v>200000</v>
      </c>
    </row>
    <row r="171" spans="1:10" s="92" customFormat="1" ht="16" x14ac:dyDescent="0.2">
      <c r="A171" s="93" t="s">
        <v>2099</v>
      </c>
      <c r="C171" s="92" t="s">
        <v>2100</v>
      </c>
      <c r="F171" s="105" t="s">
        <v>2101</v>
      </c>
      <c r="G171" s="263">
        <v>-70000</v>
      </c>
    </row>
    <row r="172" spans="1:10" s="92" customFormat="1" ht="16" x14ac:dyDescent="0.2">
      <c r="A172" s="93" t="s">
        <v>2103</v>
      </c>
      <c r="C172" s="92" t="s">
        <v>2104</v>
      </c>
      <c r="F172" s="105" t="s">
        <v>2101</v>
      </c>
      <c r="G172" s="264">
        <f>-500000/4</f>
        <v>-125000</v>
      </c>
      <c r="J172" s="92" t="s">
        <v>2134</v>
      </c>
    </row>
    <row r="173" spans="1:10" s="92" customFormat="1" ht="17" thickBot="1" x14ac:dyDescent="0.25">
      <c r="A173" s="93" t="s">
        <v>2106</v>
      </c>
      <c r="C173" s="92" t="s">
        <v>2107</v>
      </c>
      <c r="F173" s="105" t="s">
        <v>1211</v>
      </c>
      <c r="G173" s="277">
        <f>SUM(G170:G172)</f>
        <v>5000</v>
      </c>
    </row>
    <row r="174" spans="1:10" s="92" customFormat="1" ht="16" x14ac:dyDescent="0.2">
      <c r="A174" s="93" t="s">
        <v>2108</v>
      </c>
      <c r="C174" s="92" t="s">
        <v>2055</v>
      </c>
      <c r="F174" s="105" t="s">
        <v>2109</v>
      </c>
      <c r="G174" s="265">
        <v>0.3</v>
      </c>
    </row>
    <row r="175" spans="1:10" s="92" customFormat="1" ht="17" thickBot="1" x14ac:dyDescent="0.25">
      <c r="C175" s="92" t="s">
        <v>2110</v>
      </c>
      <c r="F175" s="266" t="s">
        <v>2101</v>
      </c>
      <c r="G175" s="267">
        <f>-G173*G174</f>
        <v>-1500</v>
      </c>
      <c r="J175" s="92" t="s">
        <v>2135</v>
      </c>
    </row>
    <row r="176" spans="1:10" s="92" customFormat="1" ht="16" x14ac:dyDescent="0.2"/>
    <row r="177" spans="1:9" s="92" customFormat="1" ht="16" x14ac:dyDescent="0.2">
      <c r="A177" s="93" t="s">
        <v>775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8">
        <v>4</v>
      </c>
      <c r="I177" s="105"/>
    </row>
    <row r="178" spans="1:9" s="92" customFormat="1" ht="16" x14ac:dyDescent="0.2">
      <c r="A178" s="93" t="s">
        <v>2111</v>
      </c>
      <c r="C178" s="184" t="s">
        <v>2060</v>
      </c>
      <c r="D178" s="268">
        <v>-500000</v>
      </c>
      <c r="E178" s="269"/>
      <c r="F178" s="269"/>
      <c r="G178" s="269"/>
      <c r="H178" s="279"/>
      <c r="I178" s="264"/>
    </row>
    <row r="179" spans="1:9" s="92" customFormat="1" ht="16" x14ac:dyDescent="0.2">
      <c r="A179" s="93" t="s">
        <v>2112</v>
      </c>
      <c r="C179" s="184" t="s">
        <v>2045</v>
      </c>
      <c r="D179" s="269"/>
      <c r="E179" s="270">
        <f>G170</f>
        <v>200000</v>
      </c>
      <c r="F179" s="270">
        <f t="shared" ref="F179:H180" si="7">E179</f>
        <v>200000</v>
      </c>
      <c r="G179" s="270">
        <f t="shared" si="7"/>
        <v>200000</v>
      </c>
      <c r="H179" s="280">
        <f t="shared" si="7"/>
        <v>200000</v>
      </c>
      <c r="I179" s="264"/>
    </row>
    <row r="180" spans="1:9" s="92" customFormat="1" ht="16" x14ac:dyDescent="0.2">
      <c r="A180" s="93" t="s">
        <v>2113</v>
      </c>
      <c r="C180" s="184" t="s">
        <v>2114</v>
      </c>
      <c r="D180" s="269"/>
      <c r="E180" s="271">
        <f>G171</f>
        <v>-70000</v>
      </c>
      <c r="F180" s="271">
        <f t="shared" si="7"/>
        <v>-70000</v>
      </c>
      <c r="G180" s="271">
        <f t="shared" si="7"/>
        <v>-70000</v>
      </c>
      <c r="H180" s="281">
        <f t="shared" si="7"/>
        <v>-70000</v>
      </c>
      <c r="I180" s="264"/>
    </row>
    <row r="181" spans="1:9" s="92" customFormat="1" ht="16" x14ac:dyDescent="0.2">
      <c r="A181" s="93" t="s">
        <v>2115</v>
      </c>
      <c r="C181" s="272" t="s">
        <v>2110</v>
      </c>
      <c r="D181" s="269"/>
      <c r="E181" s="273">
        <f>G175</f>
        <v>-1500</v>
      </c>
      <c r="F181" s="273">
        <f>G175</f>
        <v>-1500</v>
      </c>
      <c r="G181" s="273">
        <f>G175</f>
        <v>-1500</v>
      </c>
      <c r="H181" s="273">
        <f>G181</f>
        <v>-1500</v>
      </c>
      <c r="I181" s="264"/>
    </row>
    <row r="182" spans="1:9" s="92" customFormat="1" ht="16" x14ac:dyDescent="0.2">
      <c r="A182" s="93" t="s">
        <v>2116</v>
      </c>
      <c r="C182" s="184" t="s">
        <v>2064</v>
      </c>
      <c r="D182" s="268">
        <v>-30000</v>
      </c>
      <c r="E182" s="269"/>
      <c r="F182" s="269"/>
      <c r="G182" s="269"/>
      <c r="H182" s="282">
        <v>30000</v>
      </c>
      <c r="I182" s="264"/>
    </row>
    <row r="183" spans="1:9" s="92" customFormat="1" ht="16" x14ac:dyDescent="0.2">
      <c r="C183" s="184" t="s">
        <v>2065</v>
      </c>
      <c r="D183" s="269"/>
      <c r="E183" s="269"/>
      <c r="F183" s="269"/>
      <c r="G183" s="269"/>
      <c r="H183" s="282">
        <v>40000</v>
      </c>
      <c r="I183" s="264"/>
    </row>
    <row r="184" spans="1:9" s="92" customFormat="1" ht="16" x14ac:dyDescent="0.2">
      <c r="C184" s="184" t="s">
        <v>2066</v>
      </c>
      <c r="D184" s="269"/>
      <c r="E184" s="269"/>
      <c r="F184" s="269"/>
      <c r="G184" s="269"/>
      <c r="H184" s="282">
        <f>-15%*40000</f>
        <v>-6000</v>
      </c>
      <c r="I184" s="264"/>
    </row>
    <row r="185" spans="1:9" s="92" customFormat="1" ht="22" thickBot="1" x14ac:dyDescent="0.3">
      <c r="C185" s="274" t="s">
        <v>2117</v>
      </c>
      <c r="D185" s="275">
        <f>SUM(D178:D184)</f>
        <v>-530000</v>
      </c>
      <c r="E185" s="275">
        <f t="shared" ref="E185:H185" si="8">SUM(E178:E184)</f>
        <v>128500</v>
      </c>
      <c r="F185" s="275">
        <f t="shared" si="8"/>
        <v>128500</v>
      </c>
      <c r="G185" s="275">
        <f t="shared" si="8"/>
        <v>128500</v>
      </c>
      <c r="H185" s="275">
        <f t="shared" si="8"/>
        <v>192500</v>
      </c>
      <c r="I185" s="283"/>
    </row>
    <row r="186" spans="1:9" s="92" customFormat="1" ht="16" x14ac:dyDescent="0.2"/>
    <row r="187" spans="1:9" s="92" customFormat="1" ht="16" x14ac:dyDescent="0.2">
      <c r="A187" s="93" t="s">
        <v>2118</v>
      </c>
      <c r="C187" s="92" t="s">
        <v>2119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2120</v>
      </c>
      <c r="I190" s="92" t="s">
        <v>2136</v>
      </c>
    </row>
    <row r="191" spans="1:9" s="92" customFormat="1" ht="16" x14ac:dyDescent="0.2"/>
    <row r="192" spans="1:9" s="92" customFormat="1" ht="16" x14ac:dyDescent="0.2">
      <c r="F192" s="105" t="s">
        <v>2080</v>
      </c>
    </row>
    <row r="193" spans="1:9" s="92" customFormat="1" ht="16" x14ac:dyDescent="0.2">
      <c r="F193" s="264">
        <f>D185</f>
        <v>-530000</v>
      </c>
      <c r="G193" s="92">
        <v>0</v>
      </c>
    </row>
    <row r="194" spans="1:9" s="92" customFormat="1" ht="16" x14ac:dyDescent="0.2">
      <c r="F194" s="264">
        <f>E185</f>
        <v>128500</v>
      </c>
      <c r="G194" s="92">
        <v>1</v>
      </c>
    </row>
    <row r="195" spans="1:9" s="92" customFormat="1" ht="16" x14ac:dyDescent="0.2">
      <c r="F195" s="264">
        <f>F185</f>
        <v>128500</v>
      </c>
      <c r="G195" s="92">
        <v>2</v>
      </c>
    </row>
    <row r="196" spans="1:9" s="92" customFormat="1" ht="16" x14ac:dyDescent="0.2">
      <c r="F196" s="264">
        <v>128500</v>
      </c>
      <c r="G196" s="92">
        <v>3</v>
      </c>
    </row>
    <row r="197" spans="1:9" s="92" customFormat="1" ht="16" x14ac:dyDescent="0.2">
      <c r="F197" s="264">
        <f>H185</f>
        <v>192500</v>
      </c>
      <c r="G197" s="92">
        <v>4</v>
      </c>
    </row>
    <row r="198" spans="1:9" s="92" customFormat="1" ht="16" x14ac:dyDescent="0.2">
      <c r="F198" s="264"/>
    </row>
    <row r="199" spans="1:9" s="92" customFormat="1" ht="16" x14ac:dyDescent="0.2">
      <c r="D199" s="92" t="s">
        <v>2137</v>
      </c>
      <c r="H199" s="284">
        <f>NPV(10%,F194:F198)+F193</f>
        <v>-78959.429000751348</v>
      </c>
      <c r="I199" s="92" t="s">
        <v>2121</v>
      </c>
    </row>
    <row r="200" spans="1:9" s="92" customFormat="1" ht="16" x14ac:dyDescent="0.2"/>
    <row r="201" spans="1:9" s="92" customFormat="1" ht="16" x14ac:dyDescent="0.2">
      <c r="C201" s="92" t="s">
        <v>2138</v>
      </c>
    </row>
    <row r="202" spans="1:9" s="92" customFormat="1" ht="16" x14ac:dyDescent="0.2"/>
    <row r="203" spans="1:9" s="92" customFormat="1" ht="16" x14ac:dyDescent="0.2">
      <c r="A203" s="251" t="s">
        <v>2139</v>
      </c>
      <c r="B203" s="254"/>
      <c r="C203" s="254"/>
      <c r="D203" s="254"/>
      <c r="E203" s="254"/>
      <c r="F203" s="254"/>
      <c r="G203" s="254"/>
      <c r="H203" s="254"/>
    </row>
    <row r="204" spans="1:9" s="92" customFormat="1" ht="16" x14ac:dyDescent="0.2"/>
    <row r="205" spans="1:9" s="92" customFormat="1" ht="16" x14ac:dyDescent="0.2">
      <c r="A205" s="92" t="s">
        <v>2140</v>
      </c>
    </row>
    <row r="206" spans="1:9" s="92" customFormat="1" ht="16" x14ac:dyDescent="0.2">
      <c r="A206" s="92" t="s">
        <v>2141</v>
      </c>
    </row>
    <row r="207" spans="1:9" s="92" customFormat="1" ht="16" x14ac:dyDescent="0.2">
      <c r="A207" s="93" t="s">
        <v>2142</v>
      </c>
      <c r="B207" s="93"/>
    </row>
    <row r="208" spans="1:9" s="92" customFormat="1" ht="16" x14ac:dyDescent="0.2">
      <c r="A208" s="93" t="s">
        <v>2143</v>
      </c>
      <c r="B208" s="93"/>
    </row>
    <row r="209" spans="1:10" s="92" customFormat="1" ht="16" x14ac:dyDescent="0.2">
      <c r="A209" s="93" t="s">
        <v>2144</v>
      </c>
    </row>
    <row r="210" spans="1:10" s="92" customFormat="1" ht="16" x14ac:dyDescent="0.2">
      <c r="A210" s="93" t="s">
        <v>2145</v>
      </c>
    </row>
    <row r="211" spans="1:10" s="92" customFormat="1" ht="16" x14ac:dyDescent="0.2">
      <c r="A211" s="93" t="s">
        <v>2146</v>
      </c>
    </row>
    <row r="212" spans="1:10" s="92" customFormat="1" ht="16" x14ac:dyDescent="0.2">
      <c r="A212" s="93" t="s">
        <v>2147</v>
      </c>
    </row>
    <row r="213" spans="1:10" s="92" customFormat="1" ht="16" x14ac:dyDescent="0.2">
      <c r="A213" s="93" t="s">
        <v>2148</v>
      </c>
    </row>
    <row r="214" spans="1:10" s="92" customFormat="1" ht="16" x14ac:dyDescent="0.2">
      <c r="A214" s="93" t="s">
        <v>2149</v>
      </c>
    </row>
    <row r="215" spans="1:10" s="92" customFormat="1" ht="16" x14ac:dyDescent="0.2">
      <c r="A215" s="93" t="s">
        <v>2150</v>
      </c>
    </row>
    <row r="216" spans="1:10" s="92" customFormat="1" ht="16" x14ac:dyDescent="0.2">
      <c r="A216" s="92" t="s">
        <v>2151</v>
      </c>
    </row>
    <row r="217" spans="1:10" s="92" customFormat="1" ht="16" x14ac:dyDescent="0.2">
      <c r="A217" s="92" t="s">
        <v>2152</v>
      </c>
    </row>
    <row r="218" spans="1:10" s="92" customFormat="1" ht="16" x14ac:dyDescent="0.2"/>
    <row r="219" spans="1:10" s="92" customFormat="1" ht="16" x14ac:dyDescent="0.2">
      <c r="A219" s="92" t="s">
        <v>2153</v>
      </c>
    </row>
    <row r="220" spans="1:10" s="92" customFormat="1" ht="16" x14ac:dyDescent="0.2"/>
    <row r="221" spans="1:10" s="92" customFormat="1" ht="16" x14ac:dyDescent="0.2">
      <c r="F221" s="261" t="s">
        <v>2094</v>
      </c>
      <c r="G221" s="261" t="s">
        <v>2095</v>
      </c>
    </row>
    <row r="222" spans="1:10" s="92" customFormat="1" ht="16" x14ac:dyDescent="0.2">
      <c r="A222" s="93" t="s">
        <v>2096</v>
      </c>
      <c r="C222" s="92" t="s">
        <v>2097</v>
      </c>
      <c r="F222" s="105" t="s">
        <v>2098</v>
      </c>
      <c r="G222" s="262">
        <v>188000</v>
      </c>
    </row>
    <row r="223" spans="1:10" s="92" customFormat="1" ht="16" x14ac:dyDescent="0.2">
      <c r="A223" s="93" t="s">
        <v>2099</v>
      </c>
      <c r="C223" s="92" t="s">
        <v>2100</v>
      </c>
      <c r="F223" s="105" t="s">
        <v>2101</v>
      </c>
      <c r="G223" s="263">
        <f>-40000-37000-20000</f>
        <v>-97000</v>
      </c>
      <c r="J223" s="92" t="s">
        <v>2154</v>
      </c>
    </row>
    <row r="224" spans="1:10" s="92" customFormat="1" ht="16" x14ac:dyDescent="0.2">
      <c r="A224" s="93" t="s">
        <v>2103</v>
      </c>
      <c r="C224" s="92" t="s">
        <v>2104</v>
      </c>
      <c r="F224" s="105" t="s">
        <v>2101</v>
      </c>
      <c r="G224" s="264">
        <f>-300000/4</f>
        <v>-75000</v>
      </c>
      <c r="J224" s="92" t="s">
        <v>2155</v>
      </c>
    </row>
    <row r="225" spans="1:9" s="92" customFormat="1" ht="17" thickBot="1" x14ac:dyDescent="0.25">
      <c r="A225" s="93" t="s">
        <v>2106</v>
      </c>
      <c r="C225" s="92" t="s">
        <v>2107</v>
      </c>
      <c r="F225" s="105" t="s">
        <v>1211</v>
      </c>
      <c r="G225" s="277">
        <f>SUM(G222:G224)</f>
        <v>16000</v>
      </c>
    </row>
    <row r="226" spans="1:9" s="92" customFormat="1" ht="16" x14ac:dyDescent="0.2">
      <c r="A226" s="93" t="s">
        <v>2108</v>
      </c>
      <c r="C226" s="92" t="s">
        <v>2055</v>
      </c>
      <c r="F226" s="105" t="s">
        <v>2109</v>
      </c>
      <c r="G226" s="265">
        <v>0.3</v>
      </c>
    </row>
    <row r="227" spans="1:9" s="92" customFormat="1" ht="17" thickBot="1" x14ac:dyDescent="0.25">
      <c r="C227" s="92" t="s">
        <v>2110</v>
      </c>
      <c r="F227" s="266" t="s">
        <v>2101</v>
      </c>
      <c r="G227" s="267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775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8">
        <v>4</v>
      </c>
      <c r="I229" s="105"/>
    </row>
    <row r="230" spans="1:9" s="92" customFormat="1" ht="16" x14ac:dyDescent="0.2">
      <c r="A230" s="93" t="s">
        <v>2111</v>
      </c>
      <c r="C230" s="184" t="s">
        <v>2060</v>
      </c>
      <c r="D230" s="268">
        <v>-300000</v>
      </c>
      <c r="E230" s="269"/>
      <c r="F230" s="269"/>
      <c r="G230" s="269"/>
      <c r="H230" s="279"/>
      <c r="I230" s="264"/>
    </row>
    <row r="231" spans="1:9" s="92" customFormat="1" ht="16" x14ac:dyDescent="0.2">
      <c r="A231" s="93" t="s">
        <v>2112</v>
      </c>
      <c r="C231" s="184" t="s">
        <v>2045</v>
      </c>
      <c r="D231" s="269"/>
      <c r="E231" s="270">
        <f>G222</f>
        <v>188000</v>
      </c>
      <c r="F231" s="270">
        <f t="shared" ref="F231:H233" si="9">E231</f>
        <v>188000</v>
      </c>
      <c r="G231" s="270">
        <f t="shared" si="9"/>
        <v>188000</v>
      </c>
      <c r="H231" s="280">
        <f t="shared" si="9"/>
        <v>188000</v>
      </c>
      <c r="I231" s="264"/>
    </row>
    <row r="232" spans="1:9" s="92" customFormat="1" ht="16" x14ac:dyDescent="0.2">
      <c r="A232" s="93" t="s">
        <v>2113</v>
      </c>
      <c r="C232" s="184" t="s">
        <v>2114</v>
      </c>
      <c r="D232" s="269"/>
      <c r="E232" s="271">
        <f>G223</f>
        <v>-97000</v>
      </c>
      <c r="F232" s="271">
        <f t="shared" si="9"/>
        <v>-97000</v>
      </c>
      <c r="G232" s="271">
        <f t="shared" si="9"/>
        <v>-97000</v>
      </c>
      <c r="H232" s="271">
        <f t="shared" si="9"/>
        <v>-97000</v>
      </c>
      <c r="I232" s="264"/>
    </row>
    <row r="233" spans="1:9" s="92" customFormat="1" ht="16" x14ac:dyDescent="0.2">
      <c r="A233" s="93" t="s">
        <v>2115</v>
      </c>
      <c r="C233" s="272" t="s">
        <v>2110</v>
      </c>
      <c r="D233" s="269"/>
      <c r="E233" s="273">
        <f>G227</f>
        <v>-4800</v>
      </c>
      <c r="F233" s="273">
        <f t="shared" si="9"/>
        <v>-4800</v>
      </c>
      <c r="G233" s="273">
        <f t="shared" si="9"/>
        <v>-4800</v>
      </c>
      <c r="H233" s="273">
        <f t="shared" si="9"/>
        <v>-4800</v>
      </c>
      <c r="I233" s="264"/>
    </row>
    <row r="234" spans="1:9" s="92" customFormat="1" ht="16" x14ac:dyDescent="0.2">
      <c r="A234" s="93" t="s">
        <v>2116</v>
      </c>
      <c r="C234" s="184" t="s">
        <v>2064</v>
      </c>
      <c r="D234" s="268">
        <v>-75000</v>
      </c>
      <c r="E234" s="269"/>
      <c r="F234" s="269"/>
      <c r="G234" s="269"/>
      <c r="H234" s="282">
        <v>75000</v>
      </c>
      <c r="I234" s="264"/>
    </row>
    <row r="235" spans="1:9" s="92" customFormat="1" ht="16" x14ac:dyDescent="0.2">
      <c r="C235" s="184" t="s">
        <v>2065</v>
      </c>
      <c r="D235" s="269"/>
      <c r="E235" s="269"/>
      <c r="F235" s="269"/>
      <c r="G235" s="269"/>
      <c r="H235" s="282">
        <v>35000</v>
      </c>
      <c r="I235" s="264"/>
    </row>
    <row r="236" spans="1:9" s="92" customFormat="1" ht="16" x14ac:dyDescent="0.2">
      <c r="C236" s="184" t="s">
        <v>2066</v>
      </c>
      <c r="D236" s="269"/>
      <c r="E236" s="269"/>
      <c r="F236" s="269"/>
      <c r="G236" s="269"/>
      <c r="H236" s="282">
        <f>-12%*H235</f>
        <v>-4200</v>
      </c>
      <c r="I236" s="264"/>
    </row>
    <row r="237" spans="1:9" s="92" customFormat="1" ht="22" thickBot="1" x14ac:dyDescent="0.3">
      <c r="C237" s="274" t="s">
        <v>2117</v>
      </c>
      <c r="D237" s="275">
        <f>SUM(D230:D236)</f>
        <v>-375000</v>
      </c>
      <c r="E237" s="275">
        <f>SUM(E230:E236)</f>
        <v>86200</v>
      </c>
      <c r="F237" s="275">
        <f>SUM(F230:F236)</f>
        <v>86200</v>
      </c>
      <c r="G237" s="275">
        <f>SUM(G230:G236)</f>
        <v>86200</v>
      </c>
      <c r="H237" s="275">
        <f>SUM(H230:H236)</f>
        <v>192000</v>
      </c>
      <c r="I237" s="283"/>
    </row>
    <row r="238" spans="1:9" s="92" customFormat="1" ht="16" x14ac:dyDescent="0.2"/>
    <row r="239" spans="1:9" s="92" customFormat="1" ht="16" x14ac:dyDescent="0.2">
      <c r="A239" s="93" t="s">
        <v>2118</v>
      </c>
      <c r="C239" s="92" t="s">
        <v>2119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2120</v>
      </c>
    </row>
    <row r="243" spans="1:9" s="92" customFormat="1" ht="16" x14ac:dyDescent="0.2"/>
    <row r="244" spans="1:9" s="92" customFormat="1" ht="16" x14ac:dyDescent="0.2">
      <c r="F244" s="105" t="s">
        <v>2080</v>
      </c>
      <c r="I244" s="92" t="s">
        <v>2156</v>
      </c>
    </row>
    <row r="245" spans="1:9" s="92" customFormat="1" ht="16" x14ac:dyDescent="0.2">
      <c r="F245" s="264">
        <f>D237</f>
        <v>-375000</v>
      </c>
      <c r="G245" s="92">
        <v>0</v>
      </c>
    </row>
    <row r="246" spans="1:9" s="92" customFormat="1" ht="16" x14ac:dyDescent="0.2">
      <c r="F246" s="264">
        <f>E237</f>
        <v>86200</v>
      </c>
      <c r="G246" s="92">
        <v>1</v>
      </c>
    </row>
    <row r="247" spans="1:9" s="92" customFormat="1" ht="16" x14ac:dyDescent="0.2">
      <c r="F247" s="264">
        <f>F237</f>
        <v>86200</v>
      </c>
      <c r="G247" s="92">
        <v>2</v>
      </c>
    </row>
    <row r="248" spans="1:9" s="92" customFormat="1" ht="16" x14ac:dyDescent="0.2">
      <c r="F248" s="264">
        <f>G237</f>
        <v>86200</v>
      </c>
      <c r="G248" s="92">
        <v>3</v>
      </c>
    </row>
    <row r="249" spans="1:9" s="92" customFormat="1" ht="16" x14ac:dyDescent="0.2">
      <c r="F249" s="264">
        <f>H237</f>
        <v>192000</v>
      </c>
      <c r="G249" s="92">
        <v>4</v>
      </c>
    </row>
    <row r="250" spans="1:9" s="92" customFormat="1" ht="16" x14ac:dyDescent="0.2">
      <c r="F250" s="264"/>
    </row>
    <row r="251" spans="1:9" s="92" customFormat="1" ht="16" x14ac:dyDescent="0.2">
      <c r="D251" s="92" t="s">
        <v>2137</v>
      </c>
      <c r="H251" s="284">
        <f>NPV(8%,F246:F249)+F245</f>
        <v>-11728.50796231383</v>
      </c>
      <c r="I251" s="92" t="s">
        <v>2121</v>
      </c>
    </row>
    <row r="252" spans="1:9" s="92" customFormat="1" ht="16" x14ac:dyDescent="0.2"/>
    <row r="253" spans="1:9" s="92" customFormat="1" ht="16" x14ac:dyDescent="0.2">
      <c r="C253" s="92" t="s">
        <v>2138</v>
      </c>
    </row>
    <row r="254" spans="1:9" s="92" customFormat="1" ht="16" x14ac:dyDescent="0.2"/>
    <row r="255" spans="1:9" s="92" customFormat="1" ht="16" x14ac:dyDescent="0.2">
      <c r="A255" s="251" t="s">
        <v>2157</v>
      </c>
      <c r="B255" s="254"/>
      <c r="C255" s="254"/>
      <c r="D255" s="254"/>
      <c r="E255" s="254"/>
      <c r="F255" s="254"/>
      <c r="G255" s="254"/>
      <c r="H255" s="254"/>
      <c r="I255" s="254"/>
    </row>
    <row r="256" spans="1:9" s="92" customFormat="1" ht="16" x14ac:dyDescent="0.2">
      <c r="A256" s="92" t="s">
        <v>2158</v>
      </c>
    </row>
    <row r="257" spans="1:10" s="92" customFormat="1" ht="16" x14ac:dyDescent="0.2">
      <c r="A257" s="92" t="s">
        <v>2159</v>
      </c>
    </row>
    <row r="258" spans="1:10" s="92" customFormat="1" ht="16" x14ac:dyDescent="0.2">
      <c r="A258" s="92" t="s">
        <v>2160</v>
      </c>
    </row>
    <row r="259" spans="1:10" s="92" customFormat="1" ht="16" x14ac:dyDescent="0.2">
      <c r="A259" s="92" t="s">
        <v>2161</v>
      </c>
    </row>
    <row r="260" spans="1:10" s="92" customFormat="1" ht="16" x14ac:dyDescent="0.2">
      <c r="A260" s="92" t="s">
        <v>2162</v>
      </c>
    </row>
    <row r="261" spans="1:10" s="92" customFormat="1" ht="16" x14ac:dyDescent="0.2">
      <c r="A261" s="92" t="s">
        <v>2163</v>
      </c>
    </row>
    <row r="262" spans="1:10" s="92" customFormat="1" ht="16" x14ac:dyDescent="0.2">
      <c r="A262" s="92" t="s">
        <v>2164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2165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2166</v>
      </c>
    </row>
    <row r="265" spans="1:10" s="92" customFormat="1" ht="16" x14ac:dyDescent="0.2">
      <c r="A265" s="92" t="s">
        <v>2167</v>
      </c>
    </row>
    <row r="266" spans="1:10" s="92" customFormat="1" ht="16" x14ac:dyDescent="0.2"/>
    <row r="267" spans="1:10" s="92" customFormat="1" ht="16" x14ac:dyDescent="0.2">
      <c r="A267" s="92" t="s">
        <v>321</v>
      </c>
    </row>
    <row r="268" spans="1:10" s="92" customFormat="1" ht="16" x14ac:dyDescent="0.2">
      <c r="A268" s="92" t="s">
        <v>2168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1" t="s">
        <v>2094</v>
      </c>
      <c r="G271" s="261" t="s">
        <v>2169</v>
      </c>
      <c r="H271" s="261" t="s">
        <v>2170</v>
      </c>
      <c r="I271" s="261" t="s">
        <v>2171</v>
      </c>
      <c r="J271" s="261" t="s">
        <v>2172</v>
      </c>
    </row>
    <row r="272" spans="1:10" s="92" customFormat="1" ht="16" x14ac:dyDescent="0.2">
      <c r="A272" s="93" t="s">
        <v>2096</v>
      </c>
      <c r="C272" s="92" t="s">
        <v>2097</v>
      </c>
      <c r="F272" s="105" t="s">
        <v>2098</v>
      </c>
      <c r="G272" s="262">
        <f>70000+15000</f>
        <v>85000</v>
      </c>
      <c r="H272" s="262">
        <f>70000*1.3+15000</f>
        <v>106000</v>
      </c>
      <c r="I272" s="262">
        <f>H272*1.3+15000</f>
        <v>152800</v>
      </c>
      <c r="J272" s="262">
        <f>I272*1.3+15000</f>
        <v>213640</v>
      </c>
    </row>
    <row r="273" spans="1:10" s="92" customFormat="1" ht="16" x14ac:dyDescent="0.2">
      <c r="A273" s="93" t="s">
        <v>2099</v>
      </c>
      <c r="C273" s="92" t="s">
        <v>2100</v>
      </c>
      <c r="F273" s="105" t="s">
        <v>2101</v>
      </c>
      <c r="G273" s="263">
        <v>-20000</v>
      </c>
      <c r="H273" s="263">
        <v>-40000</v>
      </c>
      <c r="I273" s="263">
        <f>H273</f>
        <v>-40000</v>
      </c>
      <c r="J273" s="263">
        <f>I273</f>
        <v>-40000</v>
      </c>
    </row>
    <row r="274" spans="1:10" s="92" customFormat="1" ht="16" x14ac:dyDescent="0.2">
      <c r="A274" s="93" t="s">
        <v>2103</v>
      </c>
      <c r="C274" s="92" t="s">
        <v>2104</v>
      </c>
      <c r="F274" s="105" t="s">
        <v>2101</v>
      </c>
      <c r="G274" s="264">
        <v>-100000</v>
      </c>
      <c r="H274" s="264">
        <v>-100000</v>
      </c>
      <c r="I274" s="264">
        <v>-100000</v>
      </c>
      <c r="J274" s="264">
        <v>-100000</v>
      </c>
    </row>
    <row r="275" spans="1:10" s="92" customFormat="1" ht="17" thickBot="1" x14ac:dyDescent="0.25">
      <c r="A275" s="93" t="s">
        <v>2106</v>
      </c>
      <c r="C275" s="92" t="s">
        <v>2107</v>
      </c>
      <c r="F275" s="105" t="s">
        <v>1211</v>
      </c>
      <c r="G275" s="277">
        <f>G272+G273+G274</f>
        <v>-35000</v>
      </c>
      <c r="H275" s="277">
        <f>H272+H273+H274</f>
        <v>-34000</v>
      </c>
      <c r="I275" s="277">
        <f>I272+I273+I274</f>
        <v>12800</v>
      </c>
      <c r="J275" s="277">
        <f>SUM(J272:J274)</f>
        <v>73640</v>
      </c>
    </row>
    <row r="276" spans="1:10" s="92" customFormat="1" ht="16" x14ac:dyDescent="0.2">
      <c r="A276" s="93" t="s">
        <v>2108</v>
      </c>
      <c r="C276" s="92" t="s">
        <v>2055</v>
      </c>
      <c r="F276" s="105" t="s">
        <v>2109</v>
      </c>
      <c r="G276" s="265">
        <v>0.25</v>
      </c>
      <c r="H276" s="265">
        <v>0.25</v>
      </c>
      <c r="I276" s="265">
        <v>0.25</v>
      </c>
      <c r="J276" s="265">
        <v>0.25</v>
      </c>
    </row>
    <row r="277" spans="1:10" s="92" customFormat="1" ht="17" thickBot="1" x14ac:dyDescent="0.25">
      <c r="C277" s="92" t="s">
        <v>2110</v>
      </c>
      <c r="F277" s="266" t="s">
        <v>2101</v>
      </c>
      <c r="G277" s="267">
        <f>-G275*G276</f>
        <v>8750</v>
      </c>
      <c r="H277" s="267">
        <f>-H275*H276</f>
        <v>8500</v>
      </c>
      <c r="I277" s="267">
        <f>-I275*I276</f>
        <v>-3200</v>
      </c>
      <c r="J277" s="267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775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8">
        <v>4</v>
      </c>
      <c r="I279" s="105"/>
    </row>
    <row r="280" spans="1:10" s="92" customFormat="1" ht="16" x14ac:dyDescent="0.2">
      <c r="A280" s="93" t="s">
        <v>2111</v>
      </c>
      <c r="C280" s="184" t="s">
        <v>2060</v>
      </c>
      <c r="D280" s="268">
        <v>-400000</v>
      </c>
      <c r="E280" s="269"/>
      <c r="F280" s="269"/>
      <c r="G280" s="269"/>
      <c r="H280" s="279"/>
      <c r="I280" s="264"/>
    </row>
    <row r="281" spans="1:10" s="92" customFormat="1" ht="16" x14ac:dyDescent="0.2">
      <c r="A281" s="93" t="s">
        <v>2112</v>
      </c>
      <c r="C281" s="184" t="s">
        <v>2045</v>
      </c>
      <c r="D281" s="269"/>
      <c r="E281" s="270">
        <f>G272</f>
        <v>85000</v>
      </c>
      <c r="F281" s="270">
        <f t="shared" ref="F281:H282" si="10">H272</f>
        <v>106000</v>
      </c>
      <c r="G281" s="270">
        <f t="shared" si="10"/>
        <v>152800</v>
      </c>
      <c r="H281" s="270">
        <f t="shared" si="10"/>
        <v>213640</v>
      </c>
      <c r="I281" s="264"/>
    </row>
    <row r="282" spans="1:10" s="92" customFormat="1" ht="16" x14ac:dyDescent="0.2">
      <c r="A282" s="93" t="s">
        <v>2113</v>
      </c>
      <c r="C282" s="184" t="s">
        <v>2114</v>
      </c>
      <c r="D282" s="269"/>
      <c r="E282" s="271">
        <f>G273</f>
        <v>-20000</v>
      </c>
      <c r="F282" s="271">
        <f t="shared" si="10"/>
        <v>-40000</v>
      </c>
      <c r="G282" s="271">
        <f t="shared" si="10"/>
        <v>-40000</v>
      </c>
      <c r="H282" s="271">
        <f t="shared" si="10"/>
        <v>-40000</v>
      </c>
      <c r="I282" s="264"/>
    </row>
    <row r="283" spans="1:10" s="92" customFormat="1" ht="16" x14ac:dyDescent="0.2">
      <c r="A283" s="93" t="s">
        <v>2115</v>
      </c>
      <c r="C283" s="184" t="s">
        <v>2063</v>
      </c>
      <c r="D283" s="269"/>
      <c r="E283" s="273">
        <f>G277</f>
        <v>8750</v>
      </c>
      <c r="F283" s="273">
        <f t="shared" ref="F283:H283" si="11">H277</f>
        <v>8500</v>
      </c>
      <c r="G283" s="273">
        <f t="shared" si="11"/>
        <v>-3200</v>
      </c>
      <c r="H283" s="273">
        <f t="shared" si="11"/>
        <v>-18410</v>
      </c>
      <c r="I283" s="264"/>
    </row>
    <row r="284" spans="1:10" s="92" customFormat="1" ht="16" x14ac:dyDescent="0.2">
      <c r="A284" s="93" t="s">
        <v>2116</v>
      </c>
      <c r="C284" s="184" t="s">
        <v>2064</v>
      </c>
      <c r="D284" s="268">
        <v>-12000</v>
      </c>
      <c r="E284" s="269"/>
      <c r="F284" s="269"/>
      <c r="G284" s="269"/>
      <c r="H284" s="282">
        <f>-D284</f>
        <v>12000</v>
      </c>
      <c r="I284" s="264"/>
    </row>
    <row r="285" spans="1:10" s="92" customFormat="1" ht="16" x14ac:dyDescent="0.2">
      <c r="C285" s="184" t="s">
        <v>2065</v>
      </c>
      <c r="D285" s="269"/>
      <c r="E285" s="269"/>
      <c r="F285" s="269"/>
      <c r="G285" s="269"/>
      <c r="H285" s="282">
        <v>77000</v>
      </c>
      <c r="I285" s="264"/>
    </row>
    <row r="286" spans="1:10" s="92" customFormat="1" ht="16" x14ac:dyDescent="0.2">
      <c r="C286" s="184" t="s">
        <v>2066</v>
      </c>
      <c r="D286" s="269"/>
      <c r="E286" s="269"/>
      <c r="F286" s="269"/>
      <c r="G286" s="269"/>
      <c r="H286" s="282">
        <v>0</v>
      </c>
      <c r="I286" s="264"/>
    </row>
    <row r="287" spans="1:10" s="92" customFormat="1" ht="22" thickBot="1" x14ac:dyDescent="0.3">
      <c r="C287" s="274" t="s">
        <v>2117</v>
      </c>
      <c r="D287" s="275">
        <f>D280+D284</f>
        <v>-412000</v>
      </c>
      <c r="E287" s="275">
        <f>E281+E282+E283</f>
        <v>73750</v>
      </c>
      <c r="F287" s="275">
        <f>F281+F282+F283</f>
        <v>74500</v>
      </c>
      <c r="G287" s="275">
        <f>G281+G282+G283</f>
        <v>109600</v>
      </c>
      <c r="H287" s="275">
        <f>H281+H282+H283+H284+H285+H286</f>
        <v>244230</v>
      </c>
      <c r="I287" s="283"/>
    </row>
    <row r="288" spans="1:10" s="92" customFormat="1" ht="16" x14ac:dyDescent="0.2"/>
    <row r="289" spans="1:9" s="92" customFormat="1" ht="16" x14ac:dyDescent="0.2">
      <c r="A289" s="93" t="s">
        <v>2118</v>
      </c>
      <c r="C289" s="92" t="s">
        <v>2119</v>
      </c>
    </row>
    <row r="290" spans="1:9" s="92" customFormat="1" ht="16" x14ac:dyDescent="0.2"/>
    <row r="291" spans="1:9" s="92" customFormat="1" ht="16" x14ac:dyDescent="0.2">
      <c r="I291" s="92" t="s">
        <v>2173</v>
      </c>
    </row>
    <row r="292" spans="1:9" s="92" customFormat="1" ht="16" x14ac:dyDescent="0.2">
      <c r="D292" s="92" t="s">
        <v>2120</v>
      </c>
      <c r="I292" s="92" t="s">
        <v>2136</v>
      </c>
    </row>
    <row r="293" spans="1:9" s="92" customFormat="1" ht="16" x14ac:dyDescent="0.2"/>
    <row r="294" spans="1:9" s="92" customFormat="1" ht="16" x14ac:dyDescent="0.2">
      <c r="F294" s="105" t="s">
        <v>2080</v>
      </c>
      <c r="I294" s="92" t="s">
        <v>2156</v>
      </c>
    </row>
    <row r="295" spans="1:9" s="92" customFormat="1" ht="16" x14ac:dyDescent="0.2">
      <c r="F295" s="264">
        <f>D287</f>
        <v>-412000</v>
      </c>
      <c r="G295" s="92">
        <v>0</v>
      </c>
    </row>
    <row r="296" spans="1:9" s="92" customFormat="1" ht="16" x14ac:dyDescent="0.2">
      <c r="F296" s="264">
        <f>E287</f>
        <v>73750</v>
      </c>
      <c r="G296" s="92">
        <v>1</v>
      </c>
    </row>
    <row r="297" spans="1:9" s="92" customFormat="1" ht="16" x14ac:dyDescent="0.2">
      <c r="F297" s="264">
        <f>F287</f>
        <v>74500</v>
      </c>
      <c r="G297" s="92">
        <v>2</v>
      </c>
    </row>
    <row r="298" spans="1:9" s="92" customFormat="1" ht="16" x14ac:dyDescent="0.2">
      <c r="F298" s="264">
        <f>G287</f>
        <v>109600</v>
      </c>
      <c r="G298" s="92">
        <v>3</v>
      </c>
    </row>
    <row r="299" spans="1:9" s="92" customFormat="1" ht="16" x14ac:dyDescent="0.2">
      <c r="F299" s="264">
        <f>H287</f>
        <v>244230</v>
      </c>
      <c r="G299" s="92">
        <v>4</v>
      </c>
    </row>
    <row r="300" spans="1:9" s="92" customFormat="1" ht="16" x14ac:dyDescent="0.2">
      <c r="F300" s="264"/>
    </row>
    <row r="301" spans="1:9" s="92" customFormat="1" ht="16" x14ac:dyDescent="0.2">
      <c r="D301" s="92" t="s">
        <v>2137</v>
      </c>
      <c r="H301" s="284">
        <f>NPV(10%,F296:F299)+F295</f>
        <v>-34227.819138037157</v>
      </c>
      <c r="I301" s="92" t="s">
        <v>2121</v>
      </c>
    </row>
    <row r="302" spans="1:9" s="92" customFormat="1" ht="16" x14ac:dyDescent="0.2"/>
    <row r="303" spans="1:9" s="92" customFormat="1" ht="16" x14ac:dyDescent="0.2">
      <c r="D303" s="92" t="s">
        <v>2174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2" t="s">
        <v>2175</v>
      </c>
      <c r="B1" s="46"/>
      <c r="C1" s="46"/>
      <c r="D1" s="46"/>
      <c r="E1" s="46"/>
      <c r="F1" s="46"/>
      <c r="G1" s="46"/>
      <c r="H1" s="46"/>
    </row>
    <row r="2" spans="1:8" x14ac:dyDescent="0.2">
      <c r="A2" s="212" t="s">
        <v>2176</v>
      </c>
      <c r="B2" s="213"/>
      <c r="C2" s="213"/>
      <c r="D2" s="213"/>
      <c r="E2" s="213"/>
      <c r="F2" s="213"/>
      <c r="G2" s="213"/>
      <c r="H2" s="214"/>
    </row>
    <row r="3" spans="1:8" x14ac:dyDescent="0.2">
      <c r="A3" s="322" t="s">
        <v>2177</v>
      </c>
      <c r="H3" s="216"/>
    </row>
    <row r="4" spans="1:8" x14ac:dyDescent="0.2">
      <c r="A4" s="322" t="s">
        <v>2178</v>
      </c>
      <c r="H4" s="216"/>
    </row>
    <row r="5" spans="1:8" x14ac:dyDescent="0.2">
      <c r="A5" s="322" t="s">
        <v>2179</v>
      </c>
      <c r="H5" s="216"/>
    </row>
    <row r="6" spans="1:8" x14ac:dyDescent="0.2">
      <c r="A6" s="322" t="s">
        <v>2180</v>
      </c>
      <c r="H6" s="216"/>
    </row>
    <row r="7" spans="1:8" ht="16" thickBot="1" x14ac:dyDescent="0.25">
      <c r="A7" s="235" t="s">
        <v>2181</v>
      </c>
      <c r="B7" s="218"/>
      <c r="C7" s="218"/>
      <c r="D7" s="218"/>
      <c r="E7" s="218"/>
      <c r="F7" s="218"/>
      <c r="G7" s="218"/>
      <c r="H7" s="219"/>
    </row>
    <row r="8" spans="1:8" ht="16" thickBot="1" x14ac:dyDescent="0.25"/>
    <row r="9" spans="1:8" x14ac:dyDescent="0.2">
      <c r="A9" s="212" t="s">
        <v>2182</v>
      </c>
      <c r="B9" s="213"/>
      <c r="C9" s="213"/>
      <c r="D9" s="213"/>
      <c r="E9" s="213"/>
      <c r="F9" s="213"/>
      <c r="G9" s="213"/>
      <c r="H9" s="214"/>
    </row>
    <row r="10" spans="1:8" x14ac:dyDescent="0.2">
      <c r="A10" s="322" t="s">
        <v>2417</v>
      </c>
      <c r="H10" s="216"/>
    </row>
    <row r="11" spans="1:8" x14ac:dyDescent="0.2">
      <c r="A11" s="322" t="s">
        <v>2183</v>
      </c>
      <c r="H11" s="216"/>
    </row>
    <row r="12" spans="1:8" x14ac:dyDescent="0.2">
      <c r="A12" s="322"/>
      <c r="H12" s="216"/>
    </row>
    <row r="13" spans="1:8" x14ac:dyDescent="0.2">
      <c r="A13" s="322" t="s">
        <v>2415</v>
      </c>
      <c r="H13" s="216"/>
    </row>
    <row r="14" spans="1:8" x14ac:dyDescent="0.2">
      <c r="A14" s="215" t="s">
        <v>2414</v>
      </c>
      <c r="H14" s="216"/>
    </row>
    <row r="15" spans="1:8" x14ac:dyDescent="0.2">
      <c r="A15" s="322" t="s">
        <v>2416</v>
      </c>
      <c r="H15" s="216"/>
    </row>
    <row r="16" spans="1:8" ht="16" thickBot="1" x14ac:dyDescent="0.25">
      <c r="A16" s="235" t="s">
        <v>2418</v>
      </c>
      <c r="B16" s="218"/>
      <c r="C16" s="218"/>
      <c r="D16" s="218"/>
      <c r="E16" s="218"/>
      <c r="F16" s="218"/>
      <c r="G16" s="218"/>
      <c r="H16" s="219"/>
    </row>
    <row r="17" spans="1:13" ht="16" thickBot="1" x14ac:dyDescent="0.25"/>
    <row r="18" spans="1:13" x14ac:dyDescent="0.2">
      <c r="A18" s="212" t="s">
        <v>2184</v>
      </c>
      <c r="B18" s="213"/>
      <c r="C18" s="213"/>
      <c r="D18" s="213"/>
      <c r="E18" s="213"/>
      <c r="F18" s="213"/>
      <c r="G18" s="213"/>
      <c r="H18" s="214"/>
    </row>
    <row r="19" spans="1:13" x14ac:dyDescent="0.2">
      <c r="A19" s="322" t="s">
        <v>2185</v>
      </c>
      <c r="H19" s="216"/>
    </row>
    <row r="20" spans="1:13" x14ac:dyDescent="0.2">
      <c r="A20" s="322" t="s">
        <v>2186</v>
      </c>
      <c r="H20" s="216"/>
    </row>
    <row r="21" spans="1:13" x14ac:dyDescent="0.2">
      <c r="A21" s="322" t="s">
        <v>2187</v>
      </c>
      <c r="H21" s="216"/>
    </row>
    <row r="22" spans="1:13" ht="16" thickBot="1" x14ac:dyDescent="0.25">
      <c r="A22" s="235" t="s">
        <v>2413</v>
      </c>
      <c r="B22" s="218"/>
      <c r="C22" s="218"/>
      <c r="D22" s="218"/>
      <c r="E22" s="218"/>
      <c r="F22" s="218"/>
      <c r="G22" s="218"/>
      <c r="H22" s="219"/>
    </row>
    <row r="24" spans="1:13" x14ac:dyDescent="0.2">
      <c r="A24" s="324" t="s">
        <v>2188</v>
      </c>
      <c r="B24" s="325"/>
      <c r="C24" s="325"/>
      <c r="D24" s="325"/>
      <c r="E24" s="325"/>
      <c r="F24" s="325"/>
      <c r="G24" s="325"/>
      <c r="H24" s="325"/>
    </row>
    <row r="27" spans="1:13" x14ac:dyDescent="0.2">
      <c r="J27" s="43" t="s">
        <v>2422</v>
      </c>
    </row>
    <row r="28" spans="1:13" x14ac:dyDescent="0.2">
      <c r="J28" s="43" t="s">
        <v>2423</v>
      </c>
    </row>
    <row r="29" spans="1:13" x14ac:dyDescent="0.2">
      <c r="J29" s="554" t="s">
        <v>2421</v>
      </c>
      <c r="K29" s="554" t="s">
        <v>2420</v>
      </c>
      <c r="L29" s="554" t="s">
        <v>2419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57">
        <f>-K34</f>
        <v>-3277.5541099517886</v>
      </c>
      <c r="K32" s="332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58">
        <f>FV(J30,J31,J33,J32,J35)</f>
        <v>12941.161642125811</v>
      </c>
      <c r="K34" s="557">
        <f>FV(K30,K31,K33,K32,K35)</f>
        <v>3277.5541099517886</v>
      </c>
      <c r="L34" s="556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328</v>
      </c>
    </row>
    <row r="48" spans="1:13" x14ac:dyDescent="0.2">
      <c r="A48" s="324" t="s">
        <v>2189</v>
      </c>
      <c r="B48" s="325"/>
      <c r="C48" s="325"/>
      <c r="D48" s="325"/>
      <c r="E48" s="325"/>
      <c r="F48" s="325"/>
      <c r="G48" s="325"/>
      <c r="H48" s="325"/>
    </row>
    <row r="49" spans="1:1" x14ac:dyDescent="0.2">
      <c r="A49" s="43" t="s">
        <v>2190</v>
      </c>
    </row>
    <row r="50" spans="1:1" x14ac:dyDescent="0.2">
      <c r="A50" s="43" t="s">
        <v>2191</v>
      </c>
    </row>
    <row r="51" spans="1:1" x14ac:dyDescent="0.2">
      <c r="A51" s="43" t="s">
        <v>2192</v>
      </c>
    </row>
    <row r="52" spans="1:1" x14ac:dyDescent="0.2">
      <c r="A52" s="43" t="s">
        <v>2193</v>
      </c>
    </row>
    <row r="53" spans="1:1" x14ac:dyDescent="0.2">
      <c r="A53" s="43" t="s">
        <v>2194</v>
      </c>
    </row>
    <row r="54" spans="1:1" x14ac:dyDescent="0.2">
      <c r="A54" s="43" t="s">
        <v>2195</v>
      </c>
    </row>
    <row r="56" spans="1:1" x14ac:dyDescent="0.2">
      <c r="A56" s="43" t="s">
        <v>2196</v>
      </c>
    </row>
    <row r="57" spans="1:1" x14ac:dyDescent="0.2">
      <c r="A57" s="43" t="s">
        <v>2197</v>
      </c>
    </row>
    <row r="58" spans="1:1" x14ac:dyDescent="0.2">
      <c r="A58" s="43" t="s">
        <v>2198</v>
      </c>
    </row>
    <row r="59" spans="1:1" x14ac:dyDescent="0.2">
      <c r="A59" s="43" t="s">
        <v>2199</v>
      </c>
    </row>
    <row r="61" spans="1:1" x14ac:dyDescent="0.2">
      <c r="A61" s="43" t="s">
        <v>2200</v>
      </c>
    </row>
    <row r="62" spans="1:1" x14ac:dyDescent="0.2">
      <c r="A62" s="43" t="s">
        <v>2201</v>
      </c>
    </row>
    <row r="63" spans="1:1" x14ac:dyDescent="0.2">
      <c r="A63" s="43" t="s">
        <v>2202</v>
      </c>
    </row>
    <row r="65" spans="1:8" x14ac:dyDescent="0.2">
      <c r="C65" s="59" t="s">
        <v>2203</v>
      </c>
      <c r="D65" s="59" t="s">
        <v>2204</v>
      </c>
      <c r="E65" s="59" t="s">
        <v>2205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5">
        <f>-D70</f>
        <v>-3277.6064999999999</v>
      </c>
      <c r="D68" s="334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6">
        <f t="shared" ref="C70:D70" si="0">FV(C66,C67,C69,C68)</f>
        <v>12941.236390650003</v>
      </c>
      <c r="D70" s="335">
        <f t="shared" si="0"/>
        <v>3277.6064999999999</v>
      </c>
      <c r="E70" s="334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328</v>
      </c>
    </row>
    <row r="73" spans="1:8" x14ac:dyDescent="0.2">
      <c r="A73" s="324" t="s">
        <v>2207</v>
      </c>
      <c r="B73" s="324"/>
      <c r="C73" s="324"/>
      <c r="D73" s="324"/>
      <c r="E73" s="324"/>
      <c r="F73" s="324"/>
      <c r="G73" s="324"/>
      <c r="H73" s="324"/>
    </row>
    <row r="82" spans="9:18" x14ac:dyDescent="0.2">
      <c r="I82" s="43" t="s">
        <v>611</v>
      </c>
      <c r="J82" s="559">
        <v>1000000</v>
      </c>
    </row>
    <row r="83" spans="9:18" x14ac:dyDescent="0.2">
      <c r="I83" s="43" t="s">
        <v>610</v>
      </c>
      <c r="K83" s="47"/>
    </row>
    <row r="84" spans="9:18" x14ac:dyDescent="0.2">
      <c r="J84" s="47">
        <v>0</v>
      </c>
      <c r="K84" s="560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60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60">
        <v>0</v>
      </c>
      <c r="R86" s="92"/>
    </row>
    <row r="87" spans="9:18" ht="16" x14ac:dyDescent="0.2">
      <c r="J87" s="47">
        <f t="shared" ref="J87:J95" si="1">J86+1</f>
        <v>3</v>
      </c>
      <c r="K87" s="560">
        <v>150000</v>
      </c>
      <c r="R87" s="92"/>
    </row>
    <row r="88" spans="9:18" ht="16" x14ac:dyDescent="0.2">
      <c r="J88" s="47">
        <f t="shared" si="1"/>
        <v>4</v>
      </c>
      <c r="K88" s="560">
        <v>0</v>
      </c>
      <c r="R88" s="92"/>
    </row>
    <row r="89" spans="9:18" ht="16" x14ac:dyDescent="0.2">
      <c r="J89" s="47">
        <f t="shared" si="1"/>
        <v>5</v>
      </c>
      <c r="K89" s="560">
        <v>0</v>
      </c>
      <c r="R89" s="92"/>
    </row>
    <row r="90" spans="9:18" ht="16" x14ac:dyDescent="0.2">
      <c r="J90" s="47">
        <f t="shared" si="1"/>
        <v>6</v>
      </c>
      <c r="K90" s="560">
        <v>0</v>
      </c>
      <c r="R90" s="92"/>
    </row>
    <row r="91" spans="9:18" x14ac:dyDescent="0.2">
      <c r="J91" s="47">
        <f t="shared" si="1"/>
        <v>7</v>
      </c>
      <c r="K91" s="560">
        <v>0</v>
      </c>
    </row>
    <row r="92" spans="9:18" x14ac:dyDescent="0.2">
      <c r="J92" s="47">
        <f t="shared" si="1"/>
        <v>8</v>
      </c>
      <c r="K92" s="560">
        <v>0</v>
      </c>
    </row>
    <row r="93" spans="9:18" x14ac:dyDescent="0.2">
      <c r="J93" s="47">
        <f>J92+1</f>
        <v>9</v>
      </c>
      <c r="K93" s="560">
        <v>350000</v>
      </c>
    </row>
    <row r="94" spans="9:18" x14ac:dyDescent="0.2">
      <c r="J94" s="47">
        <f t="shared" si="1"/>
        <v>10</v>
      </c>
      <c r="K94" s="560">
        <v>0</v>
      </c>
    </row>
    <row r="95" spans="9:18" x14ac:dyDescent="0.2">
      <c r="J95" s="47">
        <f t="shared" si="1"/>
        <v>11</v>
      </c>
      <c r="K95" s="560">
        <v>0</v>
      </c>
    </row>
    <row r="96" spans="9:18" x14ac:dyDescent="0.2">
      <c r="J96" s="47">
        <f>J95+1</f>
        <v>12</v>
      </c>
      <c r="K96" s="560">
        <v>400000</v>
      </c>
    </row>
    <row r="98" spans="1:12" x14ac:dyDescent="0.2">
      <c r="J98" s="47" t="s">
        <v>87</v>
      </c>
      <c r="K98" s="555">
        <f>(1+6.168%)^(1/12)-1</f>
        <v>5.0001726099697663E-3</v>
      </c>
    </row>
    <row r="100" spans="1:12" x14ac:dyDescent="0.2">
      <c r="K100" s="560">
        <f>NPV(K98,K85:K96)+K84</f>
        <v>1009169.7179833071</v>
      </c>
      <c r="L100" s="43" t="s">
        <v>1904</v>
      </c>
    </row>
    <row r="102" spans="1:12" ht="16" x14ac:dyDescent="0.2">
      <c r="I102" s="47" t="s">
        <v>1371</v>
      </c>
      <c r="K102" s="561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4" t="s">
        <v>2208</v>
      </c>
      <c r="B104" s="324"/>
      <c r="C104" s="324"/>
      <c r="D104" s="324"/>
      <c r="E104" s="324"/>
      <c r="F104" s="324"/>
      <c r="G104" s="324"/>
      <c r="H104" s="324"/>
      <c r="K104" s="562">
        <f>PV(K102,K103,K105,K106)</f>
        <v>1036093.7382262076</v>
      </c>
      <c r="L104" s="92" t="s">
        <v>281</v>
      </c>
    </row>
    <row r="105" spans="1:12" ht="16" x14ac:dyDescent="0.2">
      <c r="A105" s="74" t="s">
        <v>2209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2210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2211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328</v>
      </c>
    </row>
    <row r="108" spans="1:12" x14ac:dyDescent="0.2">
      <c r="A108" s="74" t="s">
        <v>2212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2213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2214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29" t="s">
        <v>1371</v>
      </c>
      <c r="C113" s="328" t="s">
        <v>610</v>
      </c>
      <c r="D113" s="327" t="s">
        <v>611</v>
      </c>
      <c r="E113" s="60" t="s">
        <v>2215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0">
        <f>NPV($E$134,B115:B126)+B114</f>
        <v>-1036095.8736325111</v>
      </c>
      <c r="C128" s="150">
        <f>NPV($E$134,C115:C126)+C114</f>
        <v>-1009171.0879026818</v>
      </c>
      <c r="D128" s="326">
        <f>NPV($E$134,D115:D126)+D114</f>
        <v>-1000000</v>
      </c>
      <c r="E128" s="43" t="s">
        <v>2216</v>
      </c>
    </row>
    <row r="129" spans="1:12" x14ac:dyDescent="0.2">
      <c r="B129" s="47" t="s">
        <v>2217</v>
      </c>
      <c r="C129" s="47" t="s">
        <v>2218</v>
      </c>
      <c r="D129" s="47" t="s">
        <v>2219</v>
      </c>
    </row>
    <row r="130" spans="1:12" x14ac:dyDescent="0.2">
      <c r="B130" s="47" t="s">
        <v>2220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1" t="s">
        <v>2221</v>
      </c>
      <c r="C132" s="331">
        <f>B128-D128</f>
        <v>-36095.873632511124</v>
      </c>
    </row>
    <row r="133" spans="1:12" x14ac:dyDescent="0.2">
      <c r="B133" s="47"/>
    </row>
    <row r="134" spans="1:12" x14ac:dyDescent="0.2">
      <c r="A134" s="43" t="s">
        <v>2222</v>
      </c>
      <c r="B134" s="47"/>
      <c r="E134" s="161">
        <v>5.0000000000000001E-3</v>
      </c>
      <c r="G134" s="43" t="s">
        <v>2223</v>
      </c>
    </row>
    <row r="135" spans="1:12" x14ac:dyDescent="0.2">
      <c r="A135" s="74"/>
      <c r="B135" s="47"/>
    </row>
    <row r="136" spans="1:12" x14ac:dyDescent="0.2">
      <c r="A136" s="324" t="s">
        <v>2224</v>
      </c>
      <c r="B136" s="324"/>
      <c r="C136" s="324"/>
      <c r="D136" s="324"/>
      <c r="E136" s="324"/>
      <c r="F136" s="324"/>
      <c r="G136" s="324"/>
      <c r="H136" s="324"/>
      <c r="J136" s="566" t="s">
        <v>2454</v>
      </c>
      <c r="K136" s="566"/>
      <c r="L136" s="566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64">
        <f>NPV(U148,U150:U166)*(1+12.69%)^(1/12)</f>
        <v>285005.14977651188</v>
      </c>
      <c r="V147" s="43" t="s">
        <v>728</v>
      </c>
      <c r="W147" s="565" t="s">
        <v>2445</v>
      </c>
      <c r="X147" s="565"/>
      <c r="AB147" s="59" t="s">
        <v>2442</v>
      </c>
      <c r="AC147" s="59"/>
    </row>
    <row r="148" spans="1:29" ht="16" x14ac:dyDescent="0.2">
      <c r="S148" s="290" t="s">
        <v>2426</v>
      </c>
      <c r="U148" s="290">
        <f>(1+12.69%)^(2/12)-1</f>
        <v>2.0111311227025475E-2</v>
      </c>
      <c r="V148" s="290"/>
      <c r="AB148" s="561">
        <f>U148</f>
        <v>2.0111311227025475E-2</v>
      </c>
      <c r="AC148" s="92" t="s">
        <v>87</v>
      </c>
    </row>
    <row r="149" spans="1:29" ht="16" x14ac:dyDescent="0.2">
      <c r="S149" s="43" t="s">
        <v>1134</v>
      </c>
      <c r="T149" s="29">
        <v>1.4</v>
      </c>
      <c r="U149" s="29"/>
      <c r="V149" s="290"/>
      <c r="W149" s="43" t="s">
        <v>2427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43"/>
      <c r="W150" s="43" t="s">
        <v>2428</v>
      </c>
      <c r="AB150" s="562">
        <f>PV(AB148,AB149,AB151,AB152)</f>
        <v>-285571.67567212071</v>
      </c>
      <c r="AC150" s="92" t="s">
        <v>281</v>
      </c>
    </row>
    <row r="151" spans="1:29" ht="16" x14ac:dyDescent="0.2">
      <c r="A151" s="324" t="s">
        <v>2225</v>
      </c>
      <c r="B151" s="324"/>
      <c r="C151" s="324"/>
      <c r="D151" s="324"/>
      <c r="E151" s="324"/>
      <c r="F151" s="324"/>
      <c r="G151" s="324"/>
      <c r="H151" s="324"/>
      <c r="S151" s="543" t="s">
        <v>2425</v>
      </c>
      <c r="T151" s="29">
        <v>30.6</v>
      </c>
      <c r="U151" s="29">
        <v>20000</v>
      </c>
      <c r="V151" s="443"/>
      <c r="W151" s="43" t="s">
        <v>2429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43"/>
      <c r="W152" s="43" t="s">
        <v>2430</v>
      </c>
      <c r="AB152" s="47">
        <v>0</v>
      </c>
      <c r="AC152" s="92" t="s">
        <v>105</v>
      </c>
    </row>
    <row r="153" spans="1:29" ht="16" x14ac:dyDescent="0.2">
      <c r="A153" s="43" t="s">
        <v>2226</v>
      </c>
      <c r="S153" s="47"/>
      <c r="T153" s="563" t="s">
        <v>2424</v>
      </c>
      <c r="U153" s="29">
        <v>20000</v>
      </c>
      <c r="V153" s="443"/>
      <c r="W153" s="43" t="s">
        <v>2431</v>
      </c>
      <c r="AB153" s="47">
        <v>0</v>
      </c>
      <c r="AC153" s="92" t="s">
        <v>328</v>
      </c>
    </row>
    <row r="154" spans="1:29" x14ac:dyDescent="0.2">
      <c r="A154" s="43" t="s">
        <v>2227</v>
      </c>
      <c r="S154" s="47">
        <v>2019</v>
      </c>
      <c r="T154" s="29">
        <v>31.12</v>
      </c>
      <c r="U154" s="29">
        <f>20000-1400</f>
        <v>18600</v>
      </c>
      <c r="V154" s="443">
        <v>-1400</v>
      </c>
      <c r="W154" s="43" t="s">
        <v>2432</v>
      </c>
    </row>
    <row r="155" spans="1:29" x14ac:dyDescent="0.2">
      <c r="A155" s="43" t="s">
        <v>2228</v>
      </c>
      <c r="F155" s="151">
        <f>1.06^2-1</f>
        <v>0.12360000000000015</v>
      </c>
      <c r="H155" s="43" t="s">
        <v>2229</v>
      </c>
      <c r="S155" s="47"/>
      <c r="T155" s="29">
        <v>28.2</v>
      </c>
      <c r="U155" s="29">
        <v>20000</v>
      </c>
      <c r="V155" s="443"/>
      <c r="W155" s="43" t="s">
        <v>2433</v>
      </c>
      <c r="AB155" s="43">
        <f>ABS(AB150)*(1+AB148)^0.5</f>
        <v>288428.99151651585</v>
      </c>
      <c r="AC155" s="43" t="s">
        <v>2441</v>
      </c>
    </row>
    <row r="156" spans="1:29" x14ac:dyDescent="0.2">
      <c r="S156" s="47"/>
      <c r="T156" s="29">
        <v>30.4</v>
      </c>
      <c r="U156" s="29">
        <v>20000</v>
      </c>
      <c r="V156" s="443"/>
      <c r="W156" s="43" t="s">
        <v>2434</v>
      </c>
    </row>
    <row r="157" spans="1:29" x14ac:dyDescent="0.2">
      <c r="A157" s="43" t="s">
        <v>2230</v>
      </c>
      <c r="S157" s="47"/>
      <c r="T157" s="29">
        <v>30.6</v>
      </c>
      <c r="U157" s="29">
        <v>20000</v>
      </c>
      <c r="V157" s="443"/>
      <c r="W157" s="43" t="s">
        <v>2435</v>
      </c>
      <c r="AB157" s="59" t="s">
        <v>2443</v>
      </c>
      <c r="AC157" s="59"/>
    </row>
    <row r="158" spans="1:29" ht="16" x14ac:dyDescent="0.2">
      <c r="A158" s="43" t="s">
        <v>2231</v>
      </c>
      <c r="S158" s="47"/>
      <c r="T158" s="29">
        <v>30.8</v>
      </c>
      <c r="U158" s="29">
        <v>20000</v>
      </c>
      <c r="V158" s="443"/>
      <c r="W158" s="43" t="s">
        <v>2436</v>
      </c>
      <c r="AB158" s="561">
        <v>0.12690000000000001</v>
      </c>
      <c r="AC158" s="92" t="s">
        <v>87</v>
      </c>
    </row>
    <row r="159" spans="1:29" ht="16" x14ac:dyDescent="0.2">
      <c r="A159" s="43" t="s">
        <v>2232</v>
      </c>
      <c r="S159" s="47"/>
      <c r="T159" s="563" t="s">
        <v>2424</v>
      </c>
      <c r="U159" s="29">
        <v>20000</v>
      </c>
      <c r="V159" s="443"/>
      <c r="W159" s="43" t="s">
        <v>2437</v>
      </c>
      <c r="AB159" s="47">
        <v>3</v>
      </c>
      <c r="AC159" s="92" t="s">
        <v>89</v>
      </c>
    </row>
    <row r="160" spans="1:29" ht="16" x14ac:dyDescent="0.2">
      <c r="A160" s="43" t="s">
        <v>2233</v>
      </c>
      <c r="S160" s="47">
        <v>2020</v>
      </c>
      <c r="T160" s="29">
        <v>31.12</v>
      </c>
      <c r="U160" s="29">
        <f>20000-1400</f>
        <v>18600</v>
      </c>
      <c r="V160" s="443">
        <v>-1400</v>
      </c>
      <c r="W160" s="43" t="s">
        <v>2438</v>
      </c>
      <c r="AB160" s="562">
        <f>PV(AB158,AB159,AB161,AB162)</f>
        <v>3323.0917893448377</v>
      </c>
      <c r="AC160" s="92" t="s">
        <v>281</v>
      </c>
    </row>
    <row r="161" spans="1:29" ht="16" x14ac:dyDescent="0.2">
      <c r="C161" s="59" t="s">
        <v>2234</v>
      </c>
      <c r="D161" s="59" t="s">
        <v>2235</v>
      </c>
      <c r="S161" s="47"/>
      <c r="T161" s="29">
        <v>28.2</v>
      </c>
      <c r="U161" s="29">
        <v>20000</v>
      </c>
      <c r="V161" s="443"/>
      <c r="W161" s="43" t="s">
        <v>2439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43"/>
      <c r="W162" s="43" t="s">
        <v>2440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43"/>
      <c r="AB163" s="47">
        <v>0</v>
      </c>
      <c r="AC163" s="92" t="s">
        <v>328</v>
      </c>
    </row>
    <row r="164" spans="1:29" ht="16" x14ac:dyDescent="0.2">
      <c r="C164" s="337">
        <f>-D164</f>
        <v>-2411.5704120270098</v>
      </c>
      <c r="D164" s="337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43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63" t="s">
        <v>2424</v>
      </c>
      <c r="U165" s="29">
        <v>20000</v>
      </c>
      <c r="V165" s="443"/>
      <c r="AB165" s="43">
        <f>-AB160*(1+12.69%)^(3/12)</f>
        <v>-3423.8417400038034</v>
      </c>
      <c r="AC165" s="43" t="s">
        <v>2441</v>
      </c>
    </row>
    <row r="166" spans="1:29" ht="16" x14ac:dyDescent="0.2">
      <c r="C166" s="333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43">
        <v>-1400</v>
      </c>
    </row>
    <row r="167" spans="1:29" ht="16" x14ac:dyDescent="0.2">
      <c r="C167" s="74">
        <v>0</v>
      </c>
      <c r="D167" s="43">
        <v>0</v>
      </c>
      <c r="E167" s="92" t="s">
        <v>328</v>
      </c>
      <c r="U167" s="443"/>
      <c r="V167" s="443"/>
      <c r="AB167" s="43">
        <f>AB155+AB165</f>
        <v>285005.14977651206</v>
      </c>
      <c r="AC167" s="43" t="s">
        <v>2444</v>
      </c>
    </row>
    <row r="169" spans="1:29" x14ac:dyDescent="0.2">
      <c r="A169" s="43" t="s">
        <v>2236</v>
      </c>
      <c r="W169" s="565" t="s">
        <v>2446</v>
      </c>
      <c r="X169" s="565"/>
    </row>
    <row r="170" spans="1:29" x14ac:dyDescent="0.2">
      <c r="D170" s="59" t="s">
        <v>828</v>
      </c>
      <c r="E170" s="59" t="s">
        <v>2237</v>
      </c>
      <c r="W170" s="43" t="s">
        <v>2447</v>
      </c>
    </row>
    <row r="171" spans="1:29" x14ac:dyDescent="0.2">
      <c r="D171" s="43">
        <v>0</v>
      </c>
      <c r="E171" s="43">
        <v>0</v>
      </c>
      <c r="W171" s="43" t="s">
        <v>2448</v>
      </c>
    </row>
    <row r="172" spans="1:29" x14ac:dyDescent="0.2">
      <c r="D172" s="43">
        <v>-800</v>
      </c>
      <c r="E172" s="43">
        <v>1</v>
      </c>
      <c r="W172" s="43" t="s">
        <v>2449</v>
      </c>
    </row>
    <row r="173" spans="1:29" x14ac:dyDescent="0.2">
      <c r="D173" s="43">
        <v>0</v>
      </c>
      <c r="E173" s="43">
        <v>2</v>
      </c>
      <c r="W173" s="43" t="s">
        <v>2450</v>
      </c>
    </row>
    <row r="174" spans="1:29" x14ac:dyDescent="0.2">
      <c r="D174" s="43">
        <v>-800</v>
      </c>
      <c r="E174" s="43">
        <v>3</v>
      </c>
      <c r="W174" s="43" t="s">
        <v>2451</v>
      </c>
    </row>
    <row r="175" spans="1:29" x14ac:dyDescent="0.2">
      <c r="D175" s="43">
        <v>0</v>
      </c>
      <c r="E175" s="43">
        <v>4</v>
      </c>
      <c r="W175" s="43" t="s">
        <v>2452</v>
      </c>
    </row>
    <row r="176" spans="1:29" x14ac:dyDescent="0.2">
      <c r="D176" s="43">
        <v>-800</v>
      </c>
      <c r="E176" s="43">
        <v>5</v>
      </c>
      <c r="W176" s="43" t="s">
        <v>2453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2238</v>
      </c>
      <c r="D180" s="333">
        <f>NPV(C162,D172:D178)+D171</f>
        <v>-2556.2646367486313</v>
      </c>
      <c r="E180" s="43" t="s">
        <v>2216</v>
      </c>
    </row>
    <row r="185" spans="1:8" x14ac:dyDescent="0.2">
      <c r="A185" s="324" t="s">
        <v>2239</v>
      </c>
      <c r="B185" s="324"/>
      <c r="C185" s="324"/>
      <c r="D185" s="324"/>
      <c r="E185" s="324"/>
      <c r="F185" s="324"/>
      <c r="G185" s="324"/>
      <c r="H185" s="324"/>
    </row>
    <row r="203" spans="1:8" x14ac:dyDescent="0.2">
      <c r="A203" s="324" t="s">
        <v>2240</v>
      </c>
      <c r="B203" s="325"/>
      <c r="C203" s="325"/>
      <c r="D203" s="325"/>
      <c r="E203" s="325"/>
      <c r="F203" s="325"/>
      <c r="G203" s="325"/>
      <c r="H203" s="325"/>
    </row>
    <row r="205" spans="1:8" x14ac:dyDescent="0.2">
      <c r="A205" s="43" t="s">
        <v>2241</v>
      </c>
    </row>
    <row r="206" spans="1:8" x14ac:dyDescent="0.2">
      <c r="A206" s="43" t="s">
        <v>2242</v>
      </c>
    </row>
    <row r="208" spans="1:8" x14ac:dyDescent="0.2">
      <c r="B208" s="59" t="s">
        <v>2243</v>
      </c>
      <c r="C208" s="59" t="s">
        <v>450</v>
      </c>
      <c r="D208" s="59" t="s">
        <v>2244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8">
        <f>-C213</f>
        <v>48769.338009003019</v>
      </c>
      <c r="C211" s="337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2">
        <f t="shared" ref="B213:C213" si="2">FV(B209,B210,B212,B211,B214)</f>
        <v>-61779.538278884902</v>
      </c>
      <c r="C213" s="338">
        <f t="shared" si="2"/>
        <v>-48769.338009003019</v>
      </c>
      <c r="D213" s="337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328</v>
      </c>
    </row>
    <row r="215" spans="1:8" ht="16" x14ac:dyDescent="0.2">
      <c r="E215" s="92"/>
    </row>
    <row r="216" spans="1:8" ht="16" thickBot="1" x14ac:dyDescent="0.25">
      <c r="A216" s="44" t="s">
        <v>2206</v>
      </c>
    </row>
    <row r="217" spans="1:8" x14ac:dyDescent="0.2">
      <c r="A217" s="323"/>
      <c r="B217" s="213"/>
      <c r="C217" s="213"/>
      <c r="D217" s="213"/>
      <c r="E217" s="213"/>
      <c r="F217" s="213"/>
      <c r="G217" s="213"/>
      <c r="H217" s="214"/>
    </row>
    <row r="218" spans="1:8" x14ac:dyDescent="0.2">
      <c r="A218" s="322"/>
      <c r="H218" s="216"/>
    </row>
    <row r="219" spans="1:8" x14ac:dyDescent="0.2">
      <c r="A219" s="322"/>
      <c r="H219" s="216"/>
    </row>
    <row r="220" spans="1:8" x14ac:dyDescent="0.2">
      <c r="A220" s="322"/>
      <c r="H220" s="216"/>
    </row>
    <row r="221" spans="1:8" x14ac:dyDescent="0.2">
      <c r="A221" s="322"/>
      <c r="H221" s="216"/>
    </row>
    <row r="222" spans="1:8" x14ac:dyDescent="0.2">
      <c r="A222" s="322"/>
      <c r="H222" s="216"/>
    </row>
    <row r="223" spans="1:8" x14ac:dyDescent="0.2">
      <c r="A223" s="322"/>
      <c r="H223" s="216"/>
    </row>
    <row r="224" spans="1:8" x14ac:dyDescent="0.2">
      <c r="A224" s="322"/>
      <c r="H224" s="216"/>
    </row>
    <row r="225" spans="1:8" x14ac:dyDescent="0.2">
      <c r="A225" s="322"/>
      <c r="H225" s="216"/>
    </row>
    <row r="226" spans="1:8" x14ac:dyDescent="0.2">
      <c r="A226" s="322"/>
      <c r="H226" s="216"/>
    </row>
    <row r="227" spans="1:8" ht="16" thickBot="1" x14ac:dyDescent="0.25">
      <c r="A227" s="235"/>
      <c r="B227" s="218"/>
      <c r="C227" s="218"/>
      <c r="D227" s="218"/>
      <c r="E227" s="218"/>
      <c r="F227" s="218"/>
      <c r="G227" s="218"/>
      <c r="H227" s="219"/>
    </row>
    <row r="230" spans="1:8" x14ac:dyDescent="0.2">
      <c r="A230" s="324" t="s">
        <v>2245</v>
      </c>
      <c r="B230" s="324"/>
      <c r="C230" s="324"/>
      <c r="D230" s="324"/>
      <c r="E230" s="324"/>
      <c r="F230" s="324"/>
      <c r="G230" s="324"/>
      <c r="H230" s="324"/>
    </row>
    <row r="248" spans="1:8" x14ac:dyDescent="0.2">
      <c r="A248" s="324" t="s">
        <v>2246</v>
      </c>
      <c r="B248" s="324"/>
      <c r="C248" s="324"/>
      <c r="D248" s="324"/>
      <c r="E248" s="324"/>
      <c r="F248" s="324"/>
      <c r="G248" s="324"/>
      <c r="H248" s="324"/>
    </row>
    <row r="249" spans="1:8" x14ac:dyDescent="0.2">
      <c r="A249" s="43" t="s">
        <v>2247</v>
      </c>
    </row>
    <row r="250" spans="1:8" x14ac:dyDescent="0.2">
      <c r="A250" s="43" t="s">
        <v>2248</v>
      </c>
    </row>
    <row r="251" spans="1:8" x14ac:dyDescent="0.2">
      <c r="A251" s="43" t="s">
        <v>2249</v>
      </c>
    </row>
    <row r="253" spans="1:8" x14ac:dyDescent="0.2">
      <c r="C253" s="59" t="s">
        <v>2250</v>
      </c>
      <c r="D253" s="59" t="s">
        <v>2251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3">
        <f>PV(C254,C255,C257,C258,C259)</f>
        <v>-18532.08993526515</v>
      </c>
      <c r="D256" s="337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7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328</v>
      </c>
    </row>
    <row r="260" spans="1:5" ht="16" x14ac:dyDescent="0.2">
      <c r="E260" s="92"/>
    </row>
    <row r="261" spans="1:5" ht="16" x14ac:dyDescent="0.2">
      <c r="A261" s="43" t="s">
        <v>2252</v>
      </c>
      <c r="E261" s="92"/>
    </row>
    <row r="262" spans="1:5" ht="16" x14ac:dyDescent="0.2">
      <c r="A262" s="43" t="s">
        <v>2253</v>
      </c>
      <c r="E262" s="92"/>
    </row>
    <row r="263" spans="1:5" ht="16" x14ac:dyDescent="0.2">
      <c r="E263" s="92"/>
    </row>
    <row r="264" spans="1:5" ht="64" x14ac:dyDescent="0.2">
      <c r="C264" s="346" t="s">
        <v>2254</v>
      </c>
      <c r="D264" s="345" t="s">
        <v>2255</v>
      </c>
      <c r="E264" s="92"/>
    </row>
    <row r="265" spans="1:5" ht="16" x14ac:dyDescent="0.2">
      <c r="C265" s="347">
        <v>2000</v>
      </c>
      <c r="D265" s="74">
        <v>0</v>
      </c>
      <c r="E265" s="105">
        <v>0</v>
      </c>
    </row>
    <row r="266" spans="1:5" ht="16" x14ac:dyDescent="0.2">
      <c r="C266" s="347">
        <f>C265</f>
        <v>2000</v>
      </c>
      <c r="D266" s="74">
        <v>2000</v>
      </c>
      <c r="E266" s="105">
        <v>1</v>
      </c>
    </row>
    <row r="267" spans="1:5" ht="16" x14ac:dyDescent="0.2">
      <c r="C267" s="347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7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7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7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7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7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7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2256</v>
      </c>
      <c r="C275" s="333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2206</v>
      </c>
    </row>
    <row r="279" spans="1:8" x14ac:dyDescent="0.2">
      <c r="A279" s="323"/>
      <c r="B279" s="213"/>
      <c r="C279" s="213"/>
      <c r="D279" s="213"/>
      <c r="E279" s="213"/>
      <c r="F279" s="213"/>
      <c r="G279" s="213"/>
      <c r="H279" s="214"/>
    </row>
    <row r="280" spans="1:8" x14ac:dyDescent="0.2">
      <c r="A280" s="322"/>
      <c r="H280" s="216"/>
    </row>
    <row r="281" spans="1:8" x14ac:dyDescent="0.2">
      <c r="A281" s="322"/>
      <c r="H281" s="216"/>
    </row>
    <row r="282" spans="1:8" x14ac:dyDescent="0.2">
      <c r="A282" s="322"/>
      <c r="H282" s="216"/>
    </row>
    <row r="283" spans="1:8" x14ac:dyDescent="0.2">
      <c r="A283" s="322"/>
      <c r="H283" s="216"/>
    </row>
    <row r="284" spans="1:8" x14ac:dyDescent="0.2">
      <c r="A284" s="322"/>
      <c r="H284" s="216"/>
    </row>
    <row r="285" spans="1:8" x14ac:dyDescent="0.2">
      <c r="A285" s="322"/>
      <c r="H285" s="216"/>
    </row>
    <row r="286" spans="1:8" x14ac:dyDescent="0.2">
      <c r="A286" s="322"/>
      <c r="H286" s="216"/>
    </row>
    <row r="287" spans="1:8" x14ac:dyDescent="0.2">
      <c r="A287" s="322"/>
      <c r="H287" s="216"/>
    </row>
    <row r="288" spans="1:8" x14ac:dyDescent="0.2">
      <c r="A288" s="322"/>
      <c r="H288" s="216"/>
    </row>
    <row r="289" spans="1:8" ht="16" thickBot="1" x14ac:dyDescent="0.25">
      <c r="A289" s="235"/>
      <c r="B289" s="218"/>
      <c r="C289" s="218"/>
      <c r="D289" s="218"/>
      <c r="E289" s="218"/>
      <c r="F289" s="218"/>
      <c r="G289" s="218"/>
      <c r="H289" s="219"/>
    </row>
    <row r="291" spans="1:8" x14ac:dyDescent="0.2">
      <c r="A291" s="324" t="s">
        <v>2257</v>
      </c>
      <c r="B291" s="324"/>
      <c r="C291" s="324"/>
      <c r="D291" s="324"/>
      <c r="E291" s="324"/>
      <c r="F291" s="324"/>
      <c r="G291" s="324"/>
      <c r="H291" s="324"/>
    </row>
    <row r="311" spans="1:8" x14ac:dyDescent="0.2">
      <c r="A311" s="324" t="s">
        <v>2258</v>
      </c>
      <c r="B311" s="324"/>
      <c r="C311" s="324"/>
      <c r="D311" s="324"/>
      <c r="E311" s="324"/>
      <c r="F311" s="324"/>
      <c r="G311" s="324"/>
      <c r="H311" s="324"/>
    </row>
    <row r="312" spans="1:8" x14ac:dyDescent="0.2">
      <c r="A312" s="43" t="s">
        <v>2259</v>
      </c>
    </row>
    <row r="313" spans="1:8" x14ac:dyDescent="0.2">
      <c r="A313" s="43" t="s">
        <v>2260</v>
      </c>
    </row>
    <row r="315" spans="1:8" x14ac:dyDescent="0.2">
      <c r="B315" s="59" t="s">
        <v>2261</v>
      </c>
      <c r="C315" s="59" t="s">
        <v>2262</v>
      </c>
      <c r="D315" s="59" t="s">
        <v>2263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3">
        <f>PV(B316,B317,B319,B320,B321)</f>
        <v>-251391.99514767886</v>
      </c>
      <c r="C318" s="339">
        <f>PV(C316,C317,C319,C320,C321)</f>
        <v>-222554.27052349318</v>
      </c>
      <c r="D318" s="337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39">
        <f>-C318</f>
        <v>222554.27052349318</v>
      </c>
      <c r="C320" s="337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328</v>
      </c>
    </row>
    <row r="322" spans="1:8" x14ac:dyDescent="0.2">
      <c r="A322" s="74"/>
      <c r="B322" s="47"/>
    </row>
    <row r="323" spans="1:8" ht="16" thickBot="1" x14ac:dyDescent="0.25">
      <c r="A323" s="44" t="s">
        <v>2206</v>
      </c>
    </row>
    <row r="324" spans="1:8" x14ac:dyDescent="0.2">
      <c r="A324" s="323"/>
      <c r="B324" s="213"/>
      <c r="C324" s="213"/>
      <c r="D324" s="213"/>
      <c r="E324" s="213"/>
      <c r="F324" s="213"/>
      <c r="G324" s="213"/>
      <c r="H324" s="214"/>
    </row>
    <row r="325" spans="1:8" x14ac:dyDescent="0.2">
      <c r="A325" s="322"/>
      <c r="H325" s="216"/>
    </row>
    <row r="326" spans="1:8" x14ac:dyDescent="0.2">
      <c r="A326" s="322"/>
      <c r="H326" s="216"/>
    </row>
    <row r="327" spans="1:8" x14ac:dyDescent="0.2">
      <c r="A327" s="322"/>
      <c r="H327" s="216"/>
    </row>
    <row r="328" spans="1:8" x14ac:dyDescent="0.2">
      <c r="A328" s="322"/>
      <c r="H328" s="216"/>
    </row>
    <row r="329" spans="1:8" x14ac:dyDescent="0.2">
      <c r="A329" s="322"/>
      <c r="H329" s="216"/>
    </row>
    <row r="330" spans="1:8" x14ac:dyDescent="0.2">
      <c r="A330" s="322"/>
      <c r="H330" s="216"/>
    </row>
    <row r="331" spans="1:8" x14ac:dyDescent="0.2">
      <c r="A331" s="322"/>
      <c r="H331" s="216"/>
    </row>
    <row r="332" spans="1:8" x14ac:dyDescent="0.2">
      <c r="A332" s="322"/>
      <c r="H332" s="216"/>
    </row>
    <row r="333" spans="1:8" x14ac:dyDescent="0.2">
      <c r="A333" s="322"/>
      <c r="H333" s="216"/>
    </row>
    <row r="334" spans="1:8" ht="16" thickBot="1" x14ac:dyDescent="0.25">
      <c r="A334" s="235"/>
      <c r="B334" s="218"/>
      <c r="C334" s="218"/>
      <c r="D334" s="218"/>
      <c r="E334" s="218"/>
      <c r="F334" s="218"/>
      <c r="G334" s="218"/>
      <c r="H334" s="219"/>
    </row>
    <row r="335" spans="1:8" x14ac:dyDescent="0.2">
      <c r="B335" s="318"/>
    </row>
    <row r="336" spans="1:8" x14ac:dyDescent="0.2">
      <c r="B336" s="318"/>
    </row>
    <row r="337" spans="1:15" x14ac:dyDescent="0.2">
      <c r="A337" s="324" t="s">
        <v>2264</v>
      </c>
      <c r="B337" s="324"/>
      <c r="C337" s="324"/>
      <c r="D337" s="324"/>
      <c r="E337" s="324"/>
      <c r="F337" s="324"/>
      <c r="G337" s="324"/>
      <c r="H337" s="324"/>
    </row>
    <row r="341" spans="1:15" x14ac:dyDescent="0.2">
      <c r="J341" s="43" t="s">
        <v>764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68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67">
        <f>M345+M346</f>
        <v>94</v>
      </c>
      <c r="O347" s="72"/>
    </row>
    <row r="348" spans="1:15" x14ac:dyDescent="0.2">
      <c r="J348" s="43" t="s">
        <v>2271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68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67">
        <f>M351+M352</f>
        <v>96</v>
      </c>
    </row>
    <row r="356" spans="1:13" x14ac:dyDescent="0.2">
      <c r="A356" s="324" t="s">
        <v>2265</v>
      </c>
      <c r="B356" s="324"/>
      <c r="C356" s="324"/>
      <c r="D356" s="324"/>
      <c r="E356" s="324"/>
      <c r="F356" s="324"/>
      <c r="G356" s="324"/>
      <c r="H356" s="324"/>
    </row>
    <row r="358" spans="1:13" x14ac:dyDescent="0.2">
      <c r="A358" s="43" t="s">
        <v>763</v>
      </c>
      <c r="C358" s="43" t="s">
        <v>2266</v>
      </c>
      <c r="E358" s="205">
        <f>1.015^4-1</f>
        <v>6.136355062499943E-2</v>
      </c>
      <c r="G358" s="43" t="s">
        <v>2267</v>
      </c>
    </row>
    <row r="359" spans="1:13" x14ac:dyDescent="0.2">
      <c r="A359" s="43" t="s">
        <v>764</v>
      </c>
      <c r="E359" s="161">
        <f>1/0.94-1</f>
        <v>6.3829787234042534E-2</v>
      </c>
      <c r="G359" s="43" t="s">
        <v>2268</v>
      </c>
    </row>
    <row r="360" spans="1:13" x14ac:dyDescent="0.2">
      <c r="A360" s="43" t="s">
        <v>2269</v>
      </c>
      <c r="E360" s="161">
        <f>1.0055^12-1</f>
        <v>6.8033559467648441E-2</v>
      </c>
      <c r="G360" s="43" t="s">
        <v>2270</v>
      </c>
    </row>
    <row r="361" spans="1:13" x14ac:dyDescent="0.2">
      <c r="A361" s="43" t="s">
        <v>2271</v>
      </c>
      <c r="E361" s="161">
        <f>1.01^2/0.96-1</f>
        <v>6.2604166666666794E-2</v>
      </c>
      <c r="G361" s="43" t="s">
        <v>2272</v>
      </c>
    </row>
    <row r="362" spans="1:13" x14ac:dyDescent="0.2">
      <c r="A362" s="43" t="s">
        <v>2273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2206</v>
      </c>
    </row>
    <row r="365" spans="1:13" x14ac:dyDescent="0.2">
      <c r="A365" s="323" t="s">
        <v>2274</v>
      </c>
      <c r="B365" s="213"/>
      <c r="C365" s="213"/>
      <c r="D365" s="213"/>
      <c r="E365" s="213"/>
      <c r="F365" s="213"/>
      <c r="G365" s="213"/>
      <c r="H365" s="214"/>
    </row>
    <row r="366" spans="1:13" x14ac:dyDescent="0.2">
      <c r="A366" s="322" t="s">
        <v>2275</v>
      </c>
      <c r="G366" s="43" t="s">
        <v>2276</v>
      </c>
      <c r="H366" s="216"/>
    </row>
    <row r="367" spans="1:13" x14ac:dyDescent="0.2">
      <c r="A367" s="322" t="s">
        <v>2277</v>
      </c>
      <c r="H367" s="216"/>
    </row>
    <row r="368" spans="1:13" x14ac:dyDescent="0.2">
      <c r="A368" s="322" t="s">
        <v>2278</v>
      </c>
      <c r="H368" s="216"/>
    </row>
    <row r="369" spans="1:8" x14ac:dyDescent="0.2">
      <c r="A369" s="322" t="s">
        <v>2279</v>
      </c>
      <c r="H369" s="216"/>
    </row>
    <row r="370" spans="1:8" x14ac:dyDescent="0.2">
      <c r="A370" s="322" t="s">
        <v>2280</v>
      </c>
      <c r="H370" s="216"/>
    </row>
    <row r="371" spans="1:8" x14ac:dyDescent="0.2">
      <c r="A371" s="322" t="s">
        <v>2281</v>
      </c>
      <c r="H371" s="216"/>
    </row>
    <row r="372" spans="1:8" x14ac:dyDescent="0.2">
      <c r="A372" s="322" t="s">
        <v>2282</v>
      </c>
      <c r="H372" s="216"/>
    </row>
    <row r="373" spans="1:8" x14ac:dyDescent="0.2">
      <c r="A373" s="322" t="s">
        <v>2283</v>
      </c>
      <c r="H373" s="216"/>
    </row>
    <row r="374" spans="1:8" x14ac:dyDescent="0.2">
      <c r="A374" s="322" t="s">
        <v>2284</v>
      </c>
      <c r="H374" s="216"/>
    </row>
    <row r="375" spans="1:8" ht="16" thickBot="1" x14ac:dyDescent="0.25">
      <c r="A375" s="235" t="s">
        <v>2285</v>
      </c>
      <c r="B375" s="218"/>
      <c r="C375" s="218"/>
      <c r="D375" s="218"/>
      <c r="E375" s="218"/>
      <c r="F375" s="218"/>
      <c r="G375" s="218"/>
      <c r="H375" s="219"/>
    </row>
    <row r="378" spans="1:8" x14ac:dyDescent="0.2">
      <c r="A378" s="324" t="s">
        <v>2286</v>
      </c>
      <c r="B378" s="324"/>
      <c r="C378" s="324"/>
      <c r="D378" s="324"/>
      <c r="E378" s="324"/>
      <c r="F378" s="324"/>
      <c r="G378" s="324"/>
      <c r="H378" s="324"/>
    </row>
    <row r="395" spans="1:8" x14ac:dyDescent="0.2">
      <c r="A395" s="324" t="s">
        <v>2287</v>
      </c>
      <c r="B395" s="324"/>
      <c r="C395" s="324"/>
      <c r="D395" s="324"/>
      <c r="E395" s="324"/>
      <c r="F395" s="324"/>
      <c r="G395" s="324"/>
      <c r="H395" s="324"/>
    </row>
    <row r="397" spans="1:8" x14ac:dyDescent="0.2">
      <c r="A397" s="43" t="s">
        <v>2288</v>
      </c>
    </row>
    <row r="398" spans="1:8" x14ac:dyDescent="0.2">
      <c r="A398" s="43" t="s">
        <v>2289</v>
      </c>
    </row>
    <row r="399" spans="1:8" x14ac:dyDescent="0.2">
      <c r="A399" s="43" t="s">
        <v>2290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2291</v>
      </c>
      <c r="F402" s="48">
        <v>100000</v>
      </c>
      <c r="G402" s="43" t="s">
        <v>2292</v>
      </c>
    </row>
    <row r="403" spans="1:8" x14ac:dyDescent="0.2">
      <c r="B403" s="47">
        <v>230</v>
      </c>
      <c r="C403" s="43" t="s">
        <v>2293</v>
      </c>
      <c r="F403" s="48">
        <f>-1.5%*100000</f>
        <v>-1500</v>
      </c>
      <c r="G403" s="43" t="s">
        <v>2294</v>
      </c>
    </row>
    <row r="404" spans="1:8" x14ac:dyDescent="0.2">
      <c r="B404" s="348">
        <f>B402+B403</f>
        <v>-102170</v>
      </c>
      <c r="F404" s="348">
        <f>F402+F403</f>
        <v>98500</v>
      </c>
      <c r="G404" s="43" t="s">
        <v>2295</v>
      </c>
    </row>
    <row r="407" spans="1:8" x14ac:dyDescent="0.2">
      <c r="A407" s="43" t="s">
        <v>2296</v>
      </c>
      <c r="C407" s="201">
        <f>-B404/F404-1</f>
        <v>3.7258883248731056E-2</v>
      </c>
      <c r="H407" s="43" t="s">
        <v>2297</v>
      </c>
    </row>
    <row r="408" spans="1:8" x14ac:dyDescent="0.2">
      <c r="A408" s="43" t="s">
        <v>2298</v>
      </c>
      <c r="C408" s="340">
        <f>(1+C407)^2-1</f>
        <v>7.5905990878404772E-2</v>
      </c>
      <c r="H408" s="43" t="s">
        <v>2299</v>
      </c>
    </row>
    <row r="410" spans="1:8" x14ac:dyDescent="0.2">
      <c r="A410" s="43" t="s">
        <v>2300</v>
      </c>
    </row>
    <row r="411" spans="1:8" x14ac:dyDescent="0.2">
      <c r="A411" s="43" t="s">
        <v>2301</v>
      </c>
      <c r="C411" s="201">
        <f>(100000*1.024-230)/(100000*0.985)-1</f>
        <v>3.7258883248731056E-2</v>
      </c>
      <c r="H411" s="43" t="s">
        <v>2302</v>
      </c>
    </row>
    <row r="412" spans="1:8" x14ac:dyDescent="0.2">
      <c r="A412" s="43" t="s">
        <v>2303</v>
      </c>
      <c r="C412" s="340">
        <f>(1+C411)^2-1</f>
        <v>7.5905990878404772E-2</v>
      </c>
      <c r="H412" s="43" t="s">
        <v>2299</v>
      </c>
    </row>
    <row r="414" spans="1:8" ht="16" thickBot="1" x14ac:dyDescent="0.25">
      <c r="A414" s="44" t="s">
        <v>2206</v>
      </c>
    </row>
    <row r="415" spans="1:8" x14ac:dyDescent="0.2">
      <c r="A415" s="323"/>
      <c r="B415" s="213"/>
      <c r="C415" s="213"/>
      <c r="D415" s="213"/>
      <c r="E415" s="213"/>
      <c r="F415" s="213"/>
      <c r="G415" s="213"/>
      <c r="H415" s="214"/>
    </row>
    <row r="416" spans="1:8" x14ac:dyDescent="0.2">
      <c r="A416" s="322"/>
      <c r="H416" s="216"/>
    </row>
    <row r="417" spans="1:8" x14ac:dyDescent="0.2">
      <c r="A417" s="322"/>
      <c r="H417" s="216"/>
    </row>
    <row r="418" spans="1:8" x14ac:dyDescent="0.2">
      <c r="A418" s="322"/>
      <c r="H418" s="216"/>
    </row>
    <row r="419" spans="1:8" x14ac:dyDescent="0.2">
      <c r="A419" s="322"/>
      <c r="H419" s="216"/>
    </row>
    <row r="420" spans="1:8" x14ac:dyDescent="0.2">
      <c r="A420" s="322"/>
      <c r="H420" s="216"/>
    </row>
    <row r="421" spans="1:8" x14ac:dyDescent="0.2">
      <c r="A421" s="322"/>
      <c r="H421" s="216"/>
    </row>
    <row r="422" spans="1:8" x14ac:dyDescent="0.2">
      <c r="A422" s="322"/>
      <c r="H422" s="216"/>
    </row>
    <row r="423" spans="1:8" x14ac:dyDescent="0.2">
      <c r="A423" s="322"/>
      <c r="H423" s="216"/>
    </row>
    <row r="424" spans="1:8" x14ac:dyDescent="0.2">
      <c r="A424" s="322"/>
      <c r="H424" s="216"/>
    </row>
    <row r="425" spans="1:8" ht="16" thickBot="1" x14ac:dyDescent="0.25">
      <c r="A425" s="235"/>
      <c r="B425" s="218"/>
      <c r="C425" s="218"/>
      <c r="D425" s="218"/>
      <c r="E425" s="218"/>
      <c r="F425" s="218"/>
      <c r="G425" s="218"/>
      <c r="H425" s="219"/>
    </row>
    <row r="433" spans="1:8" x14ac:dyDescent="0.2">
      <c r="A433" s="324" t="s">
        <v>2304</v>
      </c>
      <c r="B433" s="324"/>
      <c r="C433" s="324"/>
      <c r="D433" s="324"/>
      <c r="E433" s="324"/>
      <c r="F433" s="324"/>
      <c r="G433" s="324"/>
      <c r="H433" s="324"/>
    </row>
    <row r="449" spans="1:8" x14ac:dyDescent="0.2">
      <c r="A449" s="324" t="s">
        <v>2305</v>
      </c>
      <c r="B449" s="324"/>
      <c r="C449" s="324"/>
      <c r="D449" s="324"/>
      <c r="E449" s="324"/>
      <c r="F449" s="324"/>
      <c r="G449" s="324"/>
      <c r="H449" s="324"/>
    </row>
    <row r="451" spans="1:8" x14ac:dyDescent="0.2">
      <c r="A451" s="43" t="s">
        <v>2306</v>
      </c>
    </row>
    <row r="452" spans="1:8" x14ac:dyDescent="0.2">
      <c r="A452" s="43" t="s">
        <v>2307</v>
      </c>
    </row>
    <row r="453" spans="1:8" x14ac:dyDescent="0.2">
      <c r="A453" s="43" t="s">
        <v>2308</v>
      </c>
    </row>
    <row r="454" spans="1:8" x14ac:dyDescent="0.2">
      <c r="A454" s="43" t="s">
        <v>2309</v>
      </c>
    </row>
    <row r="456" spans="1:8" x14ac:dyDescent="0.2">
      <c r="C456" s="59" t="s">
        <v>268</v>
      </c>
      <c r="D456" s="59" t="s">
        <v>2310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4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0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4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328</v>
      </c>
    </row>
    <row r="464" spans="1:8" ht="16" thickBot="1" x14ac:dyDescent="0.25">
      <c r="A464" s="44" t="s">
        <v>2206</v>
      </c>
    </row>
    <row r="465" spans="1:8" x14ac:dyDescent="0.2">
      <c r="A465" s="323"/>
      <c r="B465" s="213"/>
      <c r="C465" s="213"/>
      <c r="D465" s="213"/>
      <c r="E465" s="213"/>
      <c r="F465" s="213"/>
      <c r="G465" s="213"/>
      <c r="H465" s="214"/>
    </row>
    <row r="466" spans="1:8" x14ac:dyDescent="0.2">
      <c r="A466" s="322"/>
      <c r="H466" s="216"/>
    </row>
    <row r="467" spans="1:8" x14ac:dyDescent="0.2">
      <c r="A467" s="322"/>
      <c r="H467" s="216"/>
    </row>
    <row r="468" spans="1:8" x14ac:dyDescent="0.2">
      <c r="A468" s="322"/>
      <c r="H468" s="216"/>
    </row>
    <row r="469" spans="1:8" x14ac:dyDescent="0.2">
      <c r="A469" s="322"/>
      <c r="H469" s="216"/>
    </row>
    <row r="470" spans="1:8" x14ac:dyDescent="0.2">
      <c r="A470" s="322"/>
      <c r="H470" s="216"/>
    </row>
    <row r="471" spans="1:8" x14ac:dyDescent="0.2">
      <c r="A471" s="322"/>
      <c r="H471" s="216"/>
    </row>
    <row r="472" spans="1:8" x14ac:dyDescent="0.2">
      <c r="A472" s="322"/>
      <c r="H472" s="216"/>
    </row>
    <row r="473" spans="1:8" x14ac:dyDescent="0.2">
      <c r="A473" s="322"/>
      <c r="H473" s="216"/>
    </row>
    <row r="474" spans="1:8" x14ac:dyDescent="0.2">
      <c r="A474" s="322"/>
      <c r="H474" s="216"/>
    </row>
    <row r="475" spans="1:8" ht="16" thickBot="1" x14ac:dyDescent="0.25">
      <c r="A475" s="235"/>
      <c r="B475" s="218"/>
      <c r="C475" s="218"/>
      <c r="D475" s="218"/>
      <c r="E475" s="218"/>
      <c r="F475" s="218"/>
      <c r="G475" s="218"/>
      <c r="H475" s="219"/>
    </row>
    <row r="477" spans="1:8" x14ac:dyDescent="0.2">
      <c r="A477" s="324" t="s">
        <v>2311</v>
      </c>
      <c r="B477" s="324"/>
      <c r="C477" s="324"/>
      <c r="D477" s="324"/>
      <c r="E477" s="324"/>
      <c r="F477" s="324"/>
      <c r="G477" s="324"/>
      <c r="H477" s="324"/>
    </row>
    <row r="493" spans="1:8" x14ac:dyDescent="0.2">
      <c r="A493" s="324" t="s">
        <v>2312</v>
      </c>
      <c r="B493" s="324"/>
      <c r="C493" s="324"/>
      <c r="D493" s="324"/>
      <c r="E493" s="324"/>
      <c r="F493" s="324"/>
      <c r="G493" s="324"/>
      <c r="H493" s="324"/>
    </row>
    <row r="494" spans="1:8" x14ac:dyDescent="0.2">
      <c r="A494" s="43" t="s">
        <v>2313</v>
      </c>
    </row>
    <row r="495" spans="1:8" x14ac:dyDescent="0.2">
      <c r="A495" s="43" t="s">
        <v>2314</v>
      </c>
    </row>
    <row r="496" spans="1:8" x14ac:dyDescent="0.2">
      <c r="A496" s="43" t="s">
        <v>2315</v>
      </c>
    </row>
    <row r="497" spans="1:8" x14ac:dyDescent="0.2">
      <c r="E497" s="74">
        <f>100000*10/15</f>
        <v>66666.666666666672</v>
      </c>
      <c r="H497" s="43" t="s">
        <v>2316</v>
      </c>
    </row>
    <row r="498" spans="1:8" x14ac:dyDescent="0.2">
      <c r="A498" s="43" t="s">
        <v>2317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1488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328</v>
      </c>
    </row>
    <row r="506" spans="1:8" x14ac:dyDescent="0.2">
      <c r="D506" s="320">
        <f>PPMT(D500,D501,D502,D503,D504,D505)</f>
        <v>-6260.9238191210607</v>
      </c>
      <c r="E506" s="43" t="s">
        <v>1490</v>
      </c>
    </row>
    <row r="508" spans="1:8" ht="16" thickBot="1" x14ac:dyDescent="0.25">
      <c r="A508" s="44" t="s">
        <v>2206</v>
      </c>
    </row>
    <row r="509" spans="1:8" x14ac:dyDescent="0.2">
      <c r="A509" s="323"/>
      <c r="B509" s="213"/>
      <c r="C509" s="213"/>
      <c r="D509" s="213"/>
      <c r="E509" s="213"/>
      <c r="F509" s="213"/>
      <c r="G509" s="213"/>
      <c r="H509" s="214"/>
    </row>
    <row r="510" spans="1:8" x14ac:dyDescent="0.2">
      <c r="A510" s="322"/>
      <c r="H510" s="216"/>
    </row>
    <row r="511" spans="1:8" x14ac:dyDescent="0.2">
      <c r="A511" s="322"/>
      <c r="H511" s="216"/>
    </row>
    <row r="512" spans="1:8" x14ac:dyDescent="0.2">
      <c r="A512" s="322"/>
      <c r="H512" s="216"/>
    </row>
    <row r="513" spans="1:8" x14ac:dyDescent="0.2">
      <c r="A513" s="322"/>
      <c r="H513" s="216"/>
    </row>
    <row r="514" spans="1:8" x14ac:dyDescent="0.2">
      <c r="A514" s="322"/>
      <c r="H514" s="216"/>
    </row>
    <row r="515" spans="1:8" x14ac:dyDescent="0.2">
      <c r="A515" s="322"/>
      <c r="H515" s="216"/>
    </row>
    <row r="516" spans="1:8" x14ac:dyDescent="0.2">
      <c r="A516" s="322"/>
      <c r="H516" s="216"/>
    </row>
    <row r="517" spans="1:8" x14ac:dyDescent="0.2">
      <c r="A517" s="322"/>
      <c r="H517" s="216"/>
    </row>
    <row r="518" spans="1:8" x14ac:dyDescent="0.2">
      <c r="A518" s="322"/>
      <c r="H518" s="216"/>
    </row>
    <row r="519" spans="1:8" ht="16" thickBot="1" x14ac:dyDescent="0.25">
      <c r="A519" s="235"/>
      <c r="B519" s="218"/>
      <c r="C519" s="218"/>
      <c r="D519" s="218"/>
      <c r="E519" s="218"/>
      <c r="F519" s="218"/>
      <c r="G519" s="218"/>
      <c r="H519" s="219"/>
    </row>
    <row r="527" spans="1:8" x14ac:dyDescent="0.2">
      <c r="A527" s="324" t="s">
        <v>2318</v>
      </c>
      <c r="B527" s="324"/>
      <c r="C527" s="324"/>
      <c r="D527" s="324"/>
      <c r="E527" s="324"/>
      <c r="F527" s="324"/>
      <c r="G527" s="324"/>
      <c r="H527" s="324"/>
    </row>
    <row r="543" spans="1:8" x14ac:dyDescent="0.2">
      <c r="A543" s="324" t="s">
        <v>2319</v>
      </c>
      <c r="B543" s="324"/>
      <c r="C543" s="324"/>
      <c r="D543" s="324"/>
      <c r="E543" s="324"/>
      <c r="F543" s="324"/>
      <c r="G543" s="324"/>
      <c r="H543" s="324"/>
    </row>
    <row r="544" spans="1:8" x14ac:dyDescent="0.2">
      <c r="A544" s="43" t="s">
        <v>2320</v>
      </c>
    </row>
    <row r="545" spans="1:5" x14ac:dyDescent="0.2">
      <c r="A545" s="43" t="s">
        <v>2321</v>
      </c>
    </row>
    <row r="547" spans="1:5" x14ac:dyDescent="0.2">
      <c r="D547" s="59" t="s">
        <v>2322</v>
      </c>
    </row>
    <row r="548" spans="1:5" ht="16" x14ac:dyDescent="0.2">
      <c r="D548" s="319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4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328</v>
      </c>
    </row>
    <row r="555" spans="1:5" x14ac:dyDescent="0.2">
      <c r="A555" s="43" t="s">
        <v>2323</v>
      </c>
    </row>
    <row r="556" spans="1:5" x14ac:dyDescent="0.2">
      <c r="D556" s="319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1488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328</v>
      </c>
    </row>
    <row r="562" spans="1:8" x14ac:dyDescent="0.2">
      <c r="D562" s="320">
        <f>IPMT(D556,D557,D558,D559,D560,D561)</f>
        <v>-373.1740161452214</v>
      </c>
      <c r="E562" s="43" t="s">
        <v>1490</v>
      </c>
    </row>
    <row r="564" spans="1:8" ht="16" thickBot="1" x14ac:dyDescent="0.25">
      <c r="A564" s="44" t="s">
        <v>2206</v>
      </c>
    </row>
    <row r="565" spans="1:8" x14ac:dyDescent="0.2">
      <c r="A565" s="323"/>
      <c r="B565" s="213"/>
      <c r="C565" s="213"/>
      <c r="D565" s="213"/>
      <c r="E565" s="213"/>
      <c r="F565" s="213"/>
      <c r="G565" s="213"/>
      <c r="H565" s="214"/>
    </row>
    <row r="566" spans="1:8" x14ac:dyDescent="0.2">
      <c r="A566" s="322"/>
      <c r="H566" s="216"/>
    </row>
    <row r="567" spans="1:8" x14ac:dyDescent="0.2">
      <c r="A567" s="322"/>
      <c r="H567" s="216"/>
    </row>
    <row r="568" spans="1:8" x14ac:dyDescent="0.2">
      <c r="A568" s="322"/>
      <c r="H568" s="216"/>
    </row>
    <row r="569" spans="1:8" x14ac:dyDescent="0.2">
      <c r="A569" s="322"/>
      <c r="H569" s="216"/>
    </row>
    <row r="570" spans="1:8" x14ac:dyDescent="0.2">
      <c r="A570" s="322"/>
      <c r="H570" s="216"/>
    </row>
    <row r="571" spans="1:8" x14ac:dyDescent="0.2">
      <c r="A571" s="322"/>
      <c r="H571" s="216"/>
    </row>
    <row r="572" spans="1:8" x14ac:dyDescent="0.2">
      <c r="A572" s="322"/>
      <c r="H572" s="216"/>
    </row>
    <row r="573" spans="1:8" x14ac:dyDescent="0.2">
      <c r="A573" s="322"/>
      <c r="H573" s="216"/>
    </row>
    <row r="574" spans="1:8" x14ac:dyDescent="0.2">
      <c r="A574" s="322"/>
      <c r="H574" s="216"/>
    </row>
    <row r="575" spans="1:8" ht="16" thickBot="1" x14ac:dyDescent="0.25">
      <c r="A575" s="235"/>
      <c r="B575" s="218"/>
      <c r="C575" s="218"/>
      <c r="D575" s="218"/>
      <c r="E575" s="218"/>
      <c r="F575" s="218"/>
      <c r="G575" s="218"/>
      <c r="H575" s="219"/>
    </row>
    <row r="588" spans="1:8" x14ac:dyDescent="0.2">
      <c r="A588" s="324" t="s">
        <v>2324</v>
      </c>
      <c r="B588" s="324"/>
      <c r="C588" s="324"/>
      <c r="D588" s="324"/>
      <c r="E588" s="324"/>
      <c r="F588" s="324"/>
      <c r="G588" s="324"/>
      <c r="H588" s="324"/>
    </row>
    <row r="589" spans="1:8" x14ac:dyDescent="0.2">
      <c r="C589" s="318"/>
    </row>
    <row r="590" spans="1:8" x14ac:dyDescent="0.2">
      <c r="C590" s="318"/>
    </row>
    <row r="601" spans="1:8" x14ac:dyDescent="0.2">
      <c r="A601" s="324" t="s">
        <v>2325</v>
      </c>
      <c r="B601" s="324"/>
      <c r="C601" s="324"/>
      <c r="D601" s="324"/>
      <c r="E601" s="324"/>
      <c r="F601" s="324"/>
      <c r="G601" s="324"/>
      <c r="H601" s="324"/>
    </row>
    <row r="602" spans="1:8" x14ac:dyDescent="0.2">
      <c r="A602" s="43" t="s">
        <v>2326</v>
      </c>
    </row>
    <row r="604" spans="1:8" x14ac:dyDescent="0.2">
      <c r="B604" s="49" t="s">
        <v>1859</v>
      </c>
      <c r="C604" s="49" t="s">
        <v>1860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2327</v>
      </c>
      <c r="B611" s="54">
        <v>0.1</v>
      </c>
      <c r="C611" s="54">
        <v>0.1</v>
      </c>
    </row>
    <row r="612" spans="1:8" x14ac:dyDescent="0.2">
      <c r="A612" s="47" t="s">
        <v>2328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2329</v>
      </c>
      <c r="B614" s="342">
        <f>NPV(B611,B606:B609)+B605</f>
        <v>11.700020490403631</v>
      </c>
      <c r="C614" s="341">
        <f>NPV(C611,C606:C609)+C605</f>
        <v>10.190560754046828</v>
      </c>
      <c r="D614" s="43" t="s">
        <v>2330</v>
      </c>
    </row>
    <row r="615" spans="1:8" x14ac:dyDescent="0.2">
      <c r="A615" s="47" t="s">
        <v>2331</v>
      </c>
      <c r="B615" s="341">
        <f>NPV(B612,B606:B609)+B605</f>
        <v>-3.1167898822843654E-3</v>
      </c>
      <c r="C615" s="341">
        <f>NPV(C612,C606:C609)+C605</f>
        <v>-2.0335569947183672</v>
      </c>
      <c r="D615" s="43" t="s">
        <v>2332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2206</v>
      </c>
    </row>
    <row r="618" spans="1:8" x14ac:dyDescent="0.2">
      <c r="A618" s="323"/>
      <c r="B618" s="213"/>
      <c r="C618" s="213"/>
      <c r="D618" s="213"/>
      <c r="E618" s="213"/>
      <c r="F618" s="213"/>
      <c r="G618" s="213"/>
      <c r="H618" s="214"/>
    </row>
    <row r="619" spans="1:8" x14ac:dyDescent="0.2">
      <c r="A619" s="322"/>
      <c r="H619" s="216"/>
    </row>
    <row r="620" spans="1:8" x14ac:dyDescent="0.2">
      <c r="A620" s="322"/>
      <c r="H620" s="216"/>
    </row>
    <row r="621" spans="1:8" x14ac:dyDescent="0.2">
      <c r="A621" s="322"/>
      <c r="H621" s="216"/>
    </row>
    <row r="622" spans="1:8" x14ac:dyDescent="0.2">
      <c r="A622" s="322"/>
      <c r="H622" s="216"/>
    </row>
    <row r="623" spans="1:8" x14ac:dyDescent="0.2">
      <c r="A623" s="322"/>
      <c r="H623" s="216"/>
    </row>
    <row r="624" spans="1:8" x14ac:dyDescent="0.2">
      <c r="A624" s="322"/>
      <c r="H624" s="216"/>
    </row>
    <row r="625" spans="1:8" x14ac:dyDescent="0.2">
      <c r="A625" s="322"/>
      <c r="H625" s="216"/>
    </row>
    <row r="626" spans="1:8" x14ac:dyDescent="0.2">
      <c r="A626" s="322"/>
      <c r="H626" s="216"/>
    </row>
    <row r="627" spans="1:8" x14ac:dyDescent="0.2">
      <c r="A627" s="322"/>
      <c r="H627" s="216"/>
    </row>
    <row r="628" spans="1:8" ht="16" thickBot="1" x14ac:dyDescent="0.25">
      <c r="A628" s="235"/>
      <c r="B628" s="218"/>
      <c r="C628" s="218"/>
      <c r="D628" s="218"/>
      <c r="E628" s="218"/>
      <c r="F628" s="218"/>
      <c r="G628" s="218"/>
      <c r="H628" s="219"/>
    </row>
    <row r="632" spans="1:8" x14ac:dyDescent="0.2">
      <c r="A632" s="324" t="s">
        <v>2333</v>
      </c>
      <c r="B632" s="324"/>
      <c r="C632" s="324"/>
      <c r="D632" s="324"/>
      <c r="E632" s="324"/>
      <c r="F632" s="324"/>
      <c r="G632" s="324"/>
      <c r="H632" s="324"/>
    </row>
    <row r="645" spans="1:8" x14ac:dyDescent="0.2">
      <c r="A645" s="324" t="s">
        <v>2334</v>
      </c>
      <c r="B645" s="324"/>
      <c r="C645" s="324"/>
      <c r="D645" s="324"/>
      <c r="E645" s="324"/>
      <c r="F645" s="324"/>
      <c r="G645" s="324"/>
      <c r="H645" s="324"/>
    </row>
    <row r="646" spans="1:8" x14ac:dyDescent="0.2">
      <c r="A646" s="43" t="s">
        <v>2335</v>
      </c>
    </row>
    <row r="647" spans="1:8" x14ac:dyDescent="0.2">
      <c r="A647" s="43" t="s">
        <v>2336</v>
      </c>
    </row>
    <row r="648" spans="1:8" x14ac:dyDescent="0.2">
      <c r="A648" s="43" t="s">
        <v>2337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2338</v>
      </c>
      <c r="D653" s="343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328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2339</v>
      </c>
      <c r="D659" s="344">
        <f>PV(D657,D658,D660,D661,D662)</f>
        <v>702973.49945856037</v>
      </c>
      <c r="E659" s="92" t="s">
        <v>281</v>
      </c>
    </row>
    <row r="660" spans="1:8" ht="16" x14ac:dyDescent="0.2">
      <c r="D660" s="343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328</v>
      </c>
    </row>
    <row r="663" spans="1:8" ht="16" x14ac:dyDescent="0.2">
      <c r="E663" s="92"/>
    </row>
    <row r="664" spans="1:8" x14ac:dyDescent="0.2">
      <c r="A664" s="43" t="s">
        <v>2340</v>
      </c>
    </row>
    <row r="665" spans="1:8" x14ac:dyDescent="0.2">
      <c r="A665" s="320">
        <f>D659*1.01^5*1.02^2*1^3</f>
        <v>768681.03428546432</v>
      </c>
      <c r="E665" s="43" t="s">
        <v>2341</v>
      </c>
    </row>
    <row r="667" spans="1:8" ht="16" thickBot="1" x14ac:dyDescent="0.25">
      <c r="A667" s="44" t="s">
        <v>2206</v>
      </c>
    </row>
    <row r="668" spans="1:8" x14ac:dyDescent="0.2">
      <c r="A668" s="323"/>
      <c r="B668" s="213"/>
      <c r="C668" s="213"/>
      <c r="D668" s="213"/>
      <c r="E668" s="213"/>
      <c r="F668" s="213"/>
      <c r="G668" s="213"/>
      <c r="H668" s="214"/>
    </row>
    <row r="669" spans="1:8" x14ac:dyDescent="0.2">
      <c r="A669" s="322"/>
      <c r="H669" s="216"/>
    </row>
    <row r="670" spans="1:8" x14ac:dyDescent="0.2">
      <c r="A670" s="322"/>
      <c r="H670" s="216"/>
    </row>
    <row r="671" spans="1:8" x14ac:dyDescent="0.2">
      <c r="A671" s="322"/>
      <c r="H671" s="216"/>
    </row>
    <row r="672" spans="1:8" x14ac:dyDescent="0.2">
      <c r="A672" s="322"/>
      <c r="H672" s="216"/>
    </row>
    <row r="673" spans="1:8" x14ac:dyDescent="0.2">
      <c r="A673" s="322"/>
      <c r="H673" s="216"/>
    </row>
    <row r="674" spans="1:8" x14ac:dyDescent="0.2">
      <c r="A674" s="322"/>
      <c r="H674" s="216"/>
    </row>
    <row r="675" spans="1:8" x14ac:dyDescent="0.2">
      <c r="A675" s="322"/>
      <c r="H675" s="216"/>
    </row>
    <row r="676" spans="1:8" x14ac:dyDescent="0.2">
      <c r="A676" s="322"/>
      <c r="H676" s="216"/>
    </row>
    <row r="677" spans="1:8" x14ac:dyDescent="0.2">
      <c r="A677" s="322"/>
      <c r="H677" s="216"/>
    </row>
    <row r="678" spans="1:8" ht="16" thickBot="1" x14ac:dyDescent="0.25">
      <c r="A678" s="235"/>
      <c r="B678" s="218"/>
      <c r="C678" s="218"/>
      <c r="D678" s="218"/>
      <c r="E678" s="218"/>
      <c r="F678" s="218"/>
      <c r="G678" s="218"/>
      <c r="H678" s="219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0">
        <v>45742</v>
      </c>
    </row>
    <row r="3" spans="1:8" x14ac:dyDescent="0.2">
      <c r="A3" s="325" t="s">
        <v>48</v>
      </c>
      <c r="B3" s="325"/>
      <c r="C3" s="325"/>
      <c r="D3" s="325"/>
      <c r="E3" s="325"/>
      <c r="F3" s="325"/>
      <c r="G3" s="325"/>
      <c r="H3" s="325"/>
    </row>
    <row r="4" spans="1:8" x14ac:dyDescent="0.2">
      <c r="A4" s="43" t="s">
        <v>2459</v>
      </c>
    </row>
    <row r="5" spans="1:8" x14ac:dyDescent="0.2">
      <c r="A5" s="43" t="s">
        <v>49</v>
      </c>
    </row>
    <row r="6" spans="1:8" x14ac:dyDescent="0.2">
      <c r="A6" s="43" t="s">
        <v>2460</v>
      </c>
    </row>
    <row r="7" spans="1:8" x14ac:dyDescent="0.2">
      <c r="A7" s="43" t="s">
        <v>2461</v>
      </c>
    </row>
    <row r="9" spans="1:8" x14ac:dyDescent="0.2">
      <c r="A9" s="325" t="s">
        <v>50</v>
      </c>
      <c r="B9" s="325"/>
      <c r="C9" s="325"/>
      <c r="D9" s="325"/>
      <c r="E9" s="325"/>
      <c r="F9" s="325"/>
      <c r="G9" s="325"/>
      <c r="H9" s="325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5" t="s">
        <v>53</v>
      </c>
      <c r="B13" s="325"/>
      <c r="C13" s="325"/>
      <c r="D13" s="325"/>
      <c r="E13" s="325"/>
      <c r="F13" s="325"/>
      <c r="G13" s="325"/>
      <c r="H13" s="325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70" t="s">
        <v>58</v>
      </c>
      <c r="B19" s="571"/>
      <c r="C19" s="571"/>
      <c r="D19" s="571"/>
      <c r="E19" s="571"/>
      <c r="F19" s="571"/>
      <c r="G19" s="571"/>
      <c r="H19" s="571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5" t="s">
        <v>62</v>
      </c>
      <c r="B24" s="325"/>
      <c r="C24" s="325"/>
      <c r="D24" s="325"/>
      <c r="E24" s="325"/>
      <c r="F24" s="325"/>
      <c r="G24" s="325"/>
      <c r="H24" s="325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65" t="s">
        <v>2912</v>
      </c>
      <c r="B71" s="565"/>
      <c r="C71" s="565"/>
      <c r="D71" s="565"/>
      <c r="E71" s="565"/>
      <c r="F71" s="565"/>
      <c r="G71" s="565"/>
      <c r="H71" s="565"/>
    </row>
    <row r="72" spans="1:8" ht="16" thickBot="1" x14ac:dyDescent="0.25"/>
    <row r="73" spans="1:8" ht="16" thickBot="1" x14ac:dyDescent="0.25">
      <c r="A73" s="207" t="s">
        <v>2905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2913</v>
      </c>
    </row>
    <row r="76" spans="1:8" x14ac:dyDescent="0.2">
      <c r="A76" s="43" t="s">
        <v>2914</v>
      </c>
    </row>
    <row r="78" spans="1:8" x14ac:dyDescent="0.2">
      <c r="A78" s="43" t="s">
        <v>111</v>
      </c>
    </row>
    <row r="80" spans="1:8" x14ac:dyDescent="0.2">
      <c r="A80" s="43" t="s">
        <v>2929</v>
      </c>
    </row>
    <row r="81" spans="1:8" x14ac:dyDescent="0.2">
      <c r="A81" s="43" t="s">
        <v>2930</v>
      </c>
    </row>
    <row r="83" spans="1:8" x14ac:dyDescent="0.2">
      <c r="F83" s="43" t="s">
        <v>2931</v>
      </c>
      <c r="H83" s="43" t="s">
        <v>2938</v>
      </c>
    </row>
    <row r="84" spans="1:8" x14ac:dyDescent="0.2">
      <c r="H84" s="43" t="s">
        <v>2939</v>
      </c>
    </row>
    <row r="85" spans="1:8" x14ac:dyDescent="0.2">
      <c r="H85" s="43" t="s">
        <v>2940</v>
      </c>
    </row>
    <row r="86" spans="1:8" x14ac:dyDescent="0.2">
      <c r="D86" s="43" t="s">
        <v>2941</v>
      </c>
      <c r="F86" s="43" t="s">
        <v>2932</v>
      </c>
    </row>
    <row r="87" spans="1:8" x14ac:dyDescent="0.2">
      <c r="D87" s="43" t="s">
        <v>2942</v>
      </c>
      <c r="F87" s="43" t="s">
        <v>2933</v>
      </c>
    </row>
    <row r="88" spans="1:8" x14ac:dyDescent="0.2">
      <c r="D88" s="43" t="s">
        <v>2943</v>
      </c>
      <c r="F88" s="43" t="s">
        <v>2934</v>
      </c>
    </row>
    <row r="89" spans="1:8" x14ac:dyDescent="0.2">
      <c r="D89" s="43" t="s">
        <v>2944</v>
      </c>
      <c r="F89" s="43" t="s">
        <v>2935</v>
      </c>
    </row>
    <row r="90" spans="1:8" x14ac:dyDescent="0.2">
      <c r="D90" s="43" t="s">
        <v>2945</v>
      </c>
      <c r="F90" s="43" t="s">
        <v>2936</v>
      </c>
    </row>
    <row r="91" spans="1:8" x14ac:dyDescent="0.2">
      <c r="D91" s="44" t="s">
        <v>2946</v>
      </c>
      <c r="F91" s="43" t="s">
        <v>2937</v>
      </c>
    </row>
    <row r="92" spans="1:8" x14ac:dyDescent="0.2">
      <c r="D92" s="43" t="s">
        <v>2949</v>
      </c>
    </row>
    <row r="93" spans="1:8" x14ac:dyDescent="0.2">
      <c r="D93" s="43" t="s">
        <v>2947</v>
      </c>
    </row>
    <row r="94" spans="1:8" x14ac:dyDescent="0.2">
      <c r="D94" s="43" t="s">
        <v>2948</v>
      </c>
    </row>
    <row r="95" spans="1:8" x14ac:dyDescent="0.2">
      <c r="D95" s="43" t="s">
        <v>70</v>
      </c>
    </row>
    <row r="96" spans="1:8" x14ac:dyDescent="0.2">
      <c r="H96" s="43" t="s">
        <v>2951</v>
      </c>
    </row>
    <row r="97" spans="1:8" x14ac:dyDescent="0.2">
      <c r="F97" s="43" t="s">
        <v>2950</v>
      </c>
      <c r="H97" s="43" t="s">
        <v>2952</v>
      </c>
    </row>
    <row r="99" spans="1:8" x14ac:dyDescent="0.2">
      <c r="A99" s="44" t="s">
        <v>2906</v>
      </c>
    </row>
    <row r="101" spans="1:8" x14ac:dyDescent="0.2">
      <c r="A101" s="43" t="s">
        <v>2915</v>
      </c>
    </row>
    <row r="102" spans="1:8" x14ac:dyDescent="0.2">
      <c r="A102" s="43" t="s">
        <v>2916</v>
      </c>
    </row>
    <row r="104" spans="1:8" x14ac:dyDescent="0.2">
      <c r="D104" s="48">
        <f>50000*(1+7%*3+9%*5)</f>
        <v>83000</v>
      </c>
      <c r="G104" s="43" t="s">
        <v>2953</v>
      </c>
    </row>
    <row r="107" spans="1:8" x14ac:dyDescent="0.2">
      <c r="E107" s="43" t="s">
        <v>2957</v>
      </c>
      <c r="G107" s="43" t="s">
        <v>2954</v>
      </c>
    </row>
    <row r="108" spans="1:8" x14ac:dyDescent="0.2">
      <c r="E108" s="43" t="s">
        <v>2958</v>
      </c>
      <c r="G108" s="43" t="s">
        <v>2955</v>
      </c>
    </row>
    <row r="109" spans="1:8" x14ac:dyDescent="0.2">
      <c r="E109" s="43" t="s">
        <v>2959</v>
      </c>
      <c r="G109" s="43" t="s">
        <v>2956</v>
      </c>
    </row>
    <row r="110" spans="1:8" x14ac:dyDescent="0.2">
      <c r="E110" s="43" t="s">
        <v>2960</v>
      </c>
    </row>
    <row r="111" spans="1:8" x14ac:dyDescent="0.2">
      <c r="E111" s="43" t="s">
        <v>2961</v>
      </c>
    </row>
    <row r="112" spans="1:8" x14ac:dyDescent="0.2">
      <c r="E112" s="43" t="s">
        <v>2962</v>
      </c>
    </row>
    <row r="114" spans="1:7" x14ac:dyDescent="0.2">
      <c r="G114" s="43" t="s">
        <v>2963</v>
      </c>
    </row>
    <row r="117" spans="1:7" x14ac:dyDescent="0.2">
      <c r="E117" s="43" t="s">
        <v>2966</v>
      </c>
      <c r="G117" s="43" t="s">
        <v>2964</v>
      </c>
    </row>
    <row r="118" spans="1:7" x14ac:dyDescent="0.2">
      <c r="E118" s="43" t="s">
        <v>2967</v>
      </c>
      <c r="G118" s="43" t="s">
        <v>2965</v>
      </c>
    </row>
    <row r="119" spans="1:7" x14ac:dyDescent="0.2">
      <c r="E119" s="43" t="s">
        <v>2968</v>
      </c>
    </row>
    <row r="120" spans="1:7" x14ac:dyDescent="0.2">
      <c r="E120" s="43" t="s">
        <v>2969</v>
      </c>
    </row>
    <row r="121" spans="1:7" x14ac:dyDescent="0.2">
      <c r="E121" s="43" t="s">
        <v>2970</v>
      </c>
    </row>
    <row r="122" spans="1:7" x14ac:dyDescent="0.2">
      <c r="E122" s="43" t="s">
        <v>2971</v>
      </c>
    </row>
    <row r="124" spans="1:7" x14ac:dyDescent="0.2">
      <c r="A124" s="44" t="s">
        <v>2907</v>
      </c>
    </row>
    <row r="126" spans="1:7" x14ac:dyDescent="0.2">
      <c r="A126" s="43" t="s">
        <v>2917</v>
      </c>
    </row>
    <row r="127" spans="1:7" x14ac:dyDescent="0.2">
      <c r="A127" s="43" t="s">
        <v>2918</v>
      </c>
    </row>
    <row r="129" spans="1:6" x14ac:dyDescent="0.2">
      <c r="A129" s="43" t="s">
        <v>111</v>
      </c>
    </row>
    <row r="131" spans="1:6" x14ac:dyDescent="0.2">
      <c r="A131" s="43" t="s">
        <v>2972</v>
      </c>
    </row>
    <row r="132" spans="1:6" x14ac:dyDescent="0.2">
      <c r="A132" s="43" t="s">
        <v>2973</v>
      </c>
    </row>
    <row r="134" spans="1:6" x14ac:dyDescent="0.2">
      <c r="F134" s="43" t="s">
        <v>2974</v>
      </c>
    </row>
    <row r="136" spans="1:6" x14ac:dyDescent="0.2">
      <c r="A136" s="43" t="s">
        <v>2975</v>
      </c>
    </row>
    <row r="137" spans="1:6" x14ac:dyDescent="0.2">
      <c r="A137" s="43" t="s">
        <v>2976</v>
      </c>
    </row>
    <row r="138" spans="1:6" x14ac:dyDescent="0.2">
      <c r="A138" s="43" t="s">
        <v>2977</v>
      </c>
    </row>
    <row r="139" spans="1:6" x14ac:dyDescent="0.2">
      <c r="A139" s="43" t="s">
        <v>2978</v>
      </c>
    </row>
    <row r="141" spans="1:6" x14ac:dyDescent="0.2">
      <c r="A141" s="43" t="s">
        <v>2979</v>
      </c>
    </row>
    <row r="142" spans="1:6" x14ac:dyDescent="0.2">
      <c r="D142" s="74">
        <f>90000*1.05^10</f>
        <v>146600.51640996974</v>
      </c>
      <c r="F142" s="43" t="s">
        <v>2980</v>
      </c>
    </row>
    <row r="145" spans="1:8" x14ac:dyDescent="0.2">
      <c r="D145" s="43" t="s">
        <v>2983</v>
      </c>
      <c r="F145" s="43" t="s">
        <v>2981</v>
      </c>
    </row>
    <row r="146" spans="1:8" x14ac:dyDescent="0.2">
      <c r="D146" s="43" t="s">
        <v>2984</v>
      </c>
      <c r="F146" s="43" t="s">
        <v>2982</v>
      </c>
    </row>
    <row r="147" spans="1:8" x14ac:dyDescent="0.2">
      <c r="D147" s="43" t="s">
        <v>2985</v>
      </c>
    </row>
    <row r="148" spans="1:8" x14ac:dyDescent="0.2">
      <c r="D148" s="43" t="s">
        <v>2986</v>
      </c>
    </row>
    <row r="149" spans="1:8" x14ac:dyDescent="0.2">
      <c r="D149" s="43" t="s">
        <v>2987</v>
      </c>
      <c r="H149" s="43" t="s">
        <v>2989</v>
      </c>
    </row>
    <row r="150" spans="1:8" x14ac:dyDescent="0.2">
      <c r="H150" s="43" t="s">
        <v>2990</v>
      </c>
    </row>
    <row r="151" spans="1:8" x14ac:dyDescent="0.2">
      <c r="F151" s="43" t="s">
        <v>2988</v>
      </c>
      <c r="H151" s="43" t="s">
        <v>2991</v>
      </c>
    </row>
    <row r="152" spans="1:8" x14ac:dyDescent="0.2">
      <c r="H152" s="43" t="s">
        <v>2992</v>
      </c>
    </row>
    <row r="153" spans="1:8" x14ac:dyDescent="0.2">
      <c r="H153" s="43" t="s">
        <v>2993</v>
      </c>
    </row>
    <row r="155" spans="1:8" x14ac:dyDescent="0.2">
      <c r="A155" s="43" t="s">
        <v>2994</v>
      </c>
    </row>
    <row r="157" spans="1:8" x14ac:dyDescent="0.2">
      <c r="E157" s="54">
        <v>0.05</v>
      </c>
      <c r="F157" s="43" t="s">
        <v>87</v>
      </c>
      <c r="G157" s="43" t="s">
        <v>2995</v>
      </c>
    </row>
    <row r="158" spans="1:8" x14ac:dyDescent="0.2">
      <c r="E158" s="47">
        <v>10</v>
      </c>
      <c r="F158" s="43" t="s">
        <v>89</v>
      </c>
      <c r="G158" s="43" t="s">
        <v>2996</v>
      </c>
    </row>
    <row r="159" spans="1:8" x14ac:dyDescent="0.2">
      <c r="E159" s="48">
        <v>0</v>
      </c>
      <c r="F159" s="43" t="s">
        <v>91</v>
      </c>
      <c r="G159" s="43" t="s">
        <v>2997</v>
      </c>
    </row>
    <row r="160" spans="1:8" x14ac:dyDescent="0.2">
      <c r="A160" s="43" t="s">
        <v>3000</v>
      </c>
      <c r="E160" s="48">
        <v>-90000</v>
      </c>
      <c r="F160" s="43" t="s">
        <v>281</v>
      </c>
      <c r="G160" s="43" t="s">
        <v>2998</v>
      </c>
    </row>
    <row r="161" spans="1:7" x14ac:dyDescent="0.2">
      <c r="D161" s="43" t="s">
        <v>1555</v>
      </c>
      <c r="E161" s="150">
        <f>FV(E157,E158,E159,E160)</f>
        <v>146600.51640996974</v>
      </c>
      <c r="F161" s="43" t="s">
        <v>105</v>
      </c>
      <c r="G161" s="43" t="s">
        <v>2999</v>
      </c>
    </row>
    <row r="163" spans="1:7" x14ac:dyDescent="0.2">
      <c r="A163" s="43" t="s">
        <v>3001</v>
      </c>
    </row>
    <row r="164" spans="1:7" x14ac:dyDescent="0.2">
      <c r="A164" s="43" t="s">
        <v>3002</v>
      </c>
    </row>
    <row r="166" spans="1:7" x14ac:dyDescent="0.2">
      <c r="A166" s="44" t="s">
        <v>2908</v>
      </c>
    </row>
    <row r="168" spans="1:7" x14ac:dyDescent="0.2">
      <c r="A168" s="43" t="s">
        <v>2922</v>
      </c>
    </row>
    <row r="169" spans="1:7" x14ac:dyDescent="0.2">
      <c r="A169" s="43" t="s">
        <v>2919</v>
      </c>
    </row>
    <row r="170" spans="1:7" x14ac:dyDescent="0.2">
      <c r="A170" s="43" t="s">
        <v>2920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3003</v>
      </c>
    </row>
    <row r="176" spans="1:7" x14ac:dyDescent="0.2">
      <c r="F176" s="43" t="s">
        <v>3004</v>
      </c>
    </row>
    <row r="178" spans="1:6" x14ac:dyDescent="0.2">
      <c r="A178" s="43" t="s">
        <v>3005</v>
      </c>
    </row>
    <row r="180" spans="1:6" x14ac:dyDescent="0.2">
      <c r="B180" s="47" t="s">
        <v>994</v>
      </c>
      <c r="C180" s="47" t="s">
        <v>771</v>
      </c>
      <c r="D180" s="47" t="s">
        <v>772</v>
      </c>
    </row>
    <row r="181" spans="1:6" x14ac:dyDescent="0.2">
      <c r="B181" s="49" t="s">
        <v>3008</v>
      </c>
      <c r="C181" s="49" t="s">
        <v>3007</v>
      </c>
      <c r="D181" s="49" t="s">
        <v>3006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2995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2996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2997</v>
      </c>
    </row>
    <row r="185" spans="1:6" x14ac:dyDescent="0.2">
      <c r="B185" s="330">
        <f>-C186</f>
        <v>-30607.30107002881</v>
      </c>
      <c r="C185" s="562">
        <f>-D186</f>
        <v>-22497.280000000002</v>
      </c>
      <c r="D185" s="48">
        <v>-20000</v>
      </c>
      <c r="E185" s="43" t="s">
        <v>281</v>
      </c>
      <c r="F185" s="43" t="s">
        <v>2998</v>
      </c>
    </row>
    <row r="186" spans="1:6" x14ac:dyDescent="0.2">
      <c r="B186" s="150">
        <f>FV(B182,B183,B184,B185)</f>
        <v>37034.834294734865</v>
      </c>
      <c r="C186" s="330">
        <f>FV(C182,C183,C184,C185)</f>
        <v>30607.30107002881</v>
      </c>
      <c r="D186" s="562">
        <f>FV(D182,D183,D184,D185)</f>
        <v>22497.280000000002</v>
      </c>
      <c r="E186" s="43" t="s">
        <v>105</v>
      </c>
      <c r="F186" s="43" t="s">
        <v>2999</v>
      </c>
    </row>
    <row r="188" spans="1:6" x14ac:dyDescent="0.2">
      <c r="A188" s="43" t="s">
        <v>3009</v>
      </c>
    </row>
    <row r="189" spans="1:6" x14ac:dyDescent="0.2">
      <c r="A189" s="43" t="s">
        <v>3010</v>
      </c>
    </row>
    <row r="190" spans="1:6" x14ac:dyDescent="0.2">
      <c r="A190" s="43" t="s">
        <v>3011</v>
      </c>
    </row>
    <row r="191" spans="1:6" x14ac:dyDescent="0.2">
      <c r="A191" s="43" t="s">
        <v>3012</v>
      </c>
    </row>
    <row r="192" spans="1:6" x14ac:dyDescent="0.2">
      <c r="A192" s="43" t="s">
        <v>3013</v>
      </c>
    </row>
    <row r="193" spans="1:7" x14ac:dyDescent="0.2">
      <c r="A193" s="43" t="s">
        <v>3014</v>
      </c>
    </row>
    <row r="195" spans="1:7" x14ac:dyDescent="0.2">
      <c r="A195" s="44" t="s">
        <v>2909</v>
      </c>
    </row>
    <row r="197" spans="1:7" x14ac:dyDescent="0.2">
      <c r="A197" s="43" t="s">
        <v>3018</v>
      </c>
    </row>
    <row r="198" spans="1:7" x14ac:dyDescent="0.2">
      <c r="A198" s="43" t="s">
        <v>3017</v>
      </c>
    </row>
    <row r="199" spans="1:7" x14ac:dyDescent="0.2">
      <c r="A199" s="43" t="s">
        <v>2921</v>
      </c>
    </row>
    <row r="201" spans="1:7" x14ac:dyDescent="0.2">
      <c r="C201" s="47"/>
      <c r="D201" s="47" t="s">
        <v>771</v>
      </c>
      <c r="E201" s="47" t="s">
        <v>772</v>
      </c>
    </row>
    <row r="202" spans="1:7" x14ac:dyDescent="0.2">
      <c r="A202" s="43" t="s">
        <v>3019</v>
      </c>
      <c r="C202" s="47"/>
      <c r="D202" s="49" t="s">
        <v>3016</v>
      </c>
      <c r="E202" s="49" t="s">
        <v>3015</v>
      </c>
    </row>
    <row r="203" spans="1:7" x14ac:dyDescent="0.2">
      <c r="A203" s="43" t="s">
        <v>3020</v>
      </c>
      <c r="C203" s="54"/>
      <c r="D203" s="54">
        <v>0.03</v>
      </c>
      <c r="E203" s="54">
        <v>0.01</v>
      </c>
      <c r="F203" s="43" t="s">
        <v>87</v>
      </c>
      <c r="G203" s="43" t="s">
        <v>2995</v>
      </c>
    </row>
    <row r="204" spans="1:7" x14ac:dyDescent="0.2">
      <c r="A204" s="43" t="s">
        <v>3021</v>
      </c>
      <c r="C204" s="47"/>
      <c r="D204" s="121">
        <f>6*12</f>
        <v>72</v>
      </c>
      <c r="E204" s="47">
        <v>4</v>
      </c>
      <c r="F204" s="43" t="s">
        <v>89</v>
      </c>
      <c r="G204" s="43" t="s">
        <v>2996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2997</v>
      </c>
    </row>
    <row r="206" spans="1:7" x14ac:dyDescent="0.2">
      <c r="C206" s="48"/>
      <c r="D206" s="562">
        <f>-E207</f>
        <v>-20812.0802</v>
      </c>
      <c r="E206" s="48">
        <v>-20000</v>
      </c>
      <c r="F206" s="43" t="s">
        <v>281</v>
      </c>
      <c r="G206" s="43" t="s">
        <v>2998</v>
      </c>
    </row>
    <row r="207" spans="1:7" x14ac:dyDescent="0.2">
      <c r="C207" s="48"/>
      <c r="D207" s="657">
        <f>FV(D203,D204,D205,D206)</f>
        <v>174821.83303323836</v>
      </c>
      <c r="E207" s="562">
        <f>FV(E203,E204,E205,E206)</f>
        <v>20812.0802</v>
      </c>
      <c r="F207" s="43" t="s">
        <v>105</v>
      </c>
      <c r="G207" s="43" t="s">
        <v>2999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2910</v>
      </c>
    </row>
    <row r="212" spans="1:6" x14ac:dyDescent="0.2">
      <c r="A212" s="43" t="s">
        <v>2923</v>
      </c>
    </row>
    <row r="213" spans="1:6" x14ac:dyDescent="0.2">
      <c r="A213" s="43" t="s">
        <v>2924</v>
      </c>
    </row>
    <row r="215" spans="1:6" x14ac:dyDescent="0.2">
      <c r="A215" s="43" t="s">
        <v>3023</v>
      </c>
      <c r="E215" s="43" t="s">
        <v>3022</v>
      </c>
    </row>
    <row r="217" spans="1:6" x14ac:dyDescent="0.2">
      <c r="A217" s="43" t="s">
        <v>3024</v>
      </c>
    </row>
    <row r="219" spans="1:6" x14ac:dyDescent="0.2">
      <c r="C219" s="43" t="s">
        <v>196</v>
      </c>
      <c r="E219" s="658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2911</v>
      </c>
    </row>
    <row r="236" spans="1:1" x14ac:dyDescent="0.2">
      <c r="A236" s="43" t="s">
        <v>2925</v>
      </c>
    </row>
    <row r="237" spans="1:1" x14ac:dyDescent="0.2">
      <c r="A237" s="43" t="s">
        <v>2926</v>
      </c>
    </row>
    <row r="238" spans="1:1" x14ac:dyDescent="0.2">
      <c r="A238" s="43" t="s">
        <v>2927</v>
      </c>
    </row>
    <row r="256" spans="1:1" x14ac:dyDescent="0.2">
      <c r="A256" s="44" t="s">
        <v>2928</v>
      </c>
    </row>
    <row r="261" spans="1:8" x14ac:dyDescent="0.2">
      <c r="A261" s="158" t="s">
        <v>2462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2463</v>
      </c>
    </row>
    <row r="269" spans="1:8" x14ac:dyDescent="0.2">
      <c r="A269" s="43" t="s">
        <v>2464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711" t="s">
        <v>2465</v>
      </c>
      <c r="E276" s="711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2466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2468</v>
      </c>
      <c r="D282" s="43" t="s">
        <v>2467</v>
      </c>
    </row>
    <row r="283" spans="1:7" x14ac:dyDescent="0.2">
      <c r="A283" s="43" t="s">
        <v>2469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2472</v>
      </c>
      <c r="E287" s="44" t="s">
        <v>2471</v>
      </c>
      <c r="F287" s="44" t="s">
        <v>2470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2473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2474</v>
      </c>
      <c r="B294" s="158"/>
      <c r="C294" s="158"/>
      <c r="D294" s="158"/>
      <c r="E294" s="158"/>
      <c r="F294" s="158" t="s">
        <v>123</v>
      </c>
      <c r="G294" s="158"/>
      <c r="H294" s="349"/>
    </row>
    <row r="295" spans="1:8" x14ac:dyDescent="0.2">
      <c r="A295" s="43" t="s">
        <v>124</v>
      </c>
    </row>
    <row r="296" spans="1:8" x14ac:dyDescent="0.2">
      <c r="A296" s="43" t="s">
        <v>2475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2476</v>
      </c>
    </row>
    <row r="312" spans="1:7" x14ac:dyDescent="0.2">
      <c r="B312" s="48"/>
      <c r="C312" s="47" t="s">
        <v>2477</v>
      </c>
      <c r="D312" s="43" t="s">
        <v>1505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2478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0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2481</v>
      </c>
      <c r="F345" s="43" t="s">
        <v>2479</v>
      </c>
    </row>
    <row r="346" spans="1:7" x14ac:dyDescent="0.2">
      <c r="C346" s="43" t="s">
        <v>2482</v>
      </c>
      <c r="E346" s="43" t="s">
        <v>2480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2483</v>
      </c>
      <c r="F353" s="77"/>
      <c r="G353" s="77">
        <v>0.04</v>
      </c>
      <c r="H353" s="43" t="s">
        <v>87</v>
      </c>
    </row>
    <row r="354" spans="1:8" x14ac:dyDescent="0.2">
      <c r="C354" s="43" t="s">
        <v>2484</v>
      </c>
      <c r="G354" s="43">
        <v>10</v>
      </c>
      <c r="H354" s="43" t="s">
        <v>89</v>
      </c>
    </row>
    <row r="355" spans="1:8" x14ac:dyDescent="0.2">
      <c r="C355" s="43" t="s">
        <v>2485</v>
      </c>
      <c r="G355" s="43">
        <v>0</v>
      </c>
      <c r="H355" s="43" t="s">
        <v>91</v>
      </c>
    </row>
    <row r="356" spans="1:8" x14ac:dyDescent="0.2">
      <c r="C356" s="43" t="s">
        <v>2486</v>
      </c>
      <c r="G356" s="43">
        <v>-5000</v>
      </c>
      <c r="H356" s="43" t="s">
        <v>281</v>
      </c>
    </row>
    <row r="357" spans="1:8" x14ac:dyDescent="0.2">
      <c r="C357" s="43" t="s">
        <v>2488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2487</v>
      </c>
      <c r="H358" s="43" t="s">
        <v>328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49" t="s">
        <v>141</v>
      </c>
      <c r="B362" s="349"/>
      <c r="C362" s="349"/>
      <c r="D362" s="349"/>
      <c r="E362" s="349"/>
      <c r="F362" s="349" t="s">
        <v>142</v>
      </c>
      <c r="G362" s="349"/>
      <c r="H362" s="349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2493</v>
      </c>
      <c r="D379" s="49" t="s">
        <v>2491</v>
      </c>
      <c r="E379" s="49" t="s">
        <v>2490</v>
      </c>
      <c r="F379" s="49" t="s">
        <v>2489</v>
      </c>
      <c r="I379" s="43" t="s">
        <v>2505</v>
      </c>
    </row>
    <row r="380" spans="1:9" x14ac:dyDescent="0.2">
      <c r="A380" s="43" t="s">
        <v>2494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2500</v>
      </c>
    </row>
    <row r="381" spans="1:9" x14ac:dyDescent="0.2">
      <c r="A381" s="43" t="s">
        <v>2495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2501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2502</v>
      </c>
    </row>
    <row r="383" spans="1:9" ht="16" thickBot="1" x14ac:dyDescent="0.25">
      <c r="D383" s="330">
        <f>-E384</f>
        <v>58860.000000000007</v>
      </c>
      <c r="E383" s="352">
        <f>-F384</f>
        <v>54000</v>
      </c>
      <c r="F383" s="50">
        <v>50000</v>
      </c>
      <c r="G383" s="43" t="s">
        <v>93</v>
      </c>
      <c r="I383" s="43" t="s">
        <v>2503</v>
      </c>
    </row>
    <row r="384" spans="1:9" ht="16" thickBot="1" x14ac:dyDescent="0.25">
      <c r="A384" s="44" t="s">
        <v>2496</v>
      </c>
      <c r="C384" s="50"/>
      <c r="D384" s="572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2504</v>
      </c>
    </row>
    <row r="385" spans="1:8" x14ac:dyDescent="0.2">
      <c r="A385" s="44" t="s">
        <v>2497</v>
      </c>
      <c r="C385" s="47"/>
      <c r="D385" s="711" t="s">
        <v>2492</v>
      </c>
      <c r="E385" s="711"/>
      <c r="F385" s="711"/>
      <c r="G385" s="43" t="s">
        <v>95</v>
      </c>
    </row>
    <row r="386" spans="1:8" x14ac:dyDescent="0.2">
      <c r="A386" s="44" t="s">
        <v>2498</v>
      </c>
    </row>
    <row r="387" spans="1:8" x14ac:dyDescent="0.2">
      <c r="A387" s="44" t="s">
        <v>2499</v>
      </c>
      <c r="C387" s="47"/>
    </row>
    <row r="388" spans="1:8" x14ac:dyDescent="0.2">
      <c r="C388" s="47"/>
    </row>
    <row r="389" spans="1:8" x14ac:dyDescent="0.2">
      <c r="A389" s="349" t="s">
        <v>156</v>
      </c>
      <c r="B389" s="349"/>
      <c r="C389" s="349"/>
      <c r="D389" s="349"/>
      <c r="E389" s="349"/>
      <c r="F389" s="349" t="s">
        <v>142</v>
      </c>
      <c r="G389" s="349"/>
      <c r="H389" s="349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451</v>
      </c>
      <c r="E406" s="49" t="s">
        <v>450</v>
      </c>
      <c r="F406" s="49" t="s">
        <v>2490</v>
      </c>
      <c r="G406" s="49" t="s">
        <v>2489</v>
      </c>
    </row>
    <row r="407" spans="1:8" x14ac:dyDescent="0.2">
      <c r="A407" s="43" t="s">
        <v>2507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2508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2506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0">
        <f>-E411</f>
        <v>-170864.19056063873</v>
      </c>
      <c r="E410" s="353">
        <f>-F411</f>
        <v>-134725.2482083473</v>
      </c>
      <c r="F410" s="352">
        <f>-G411</f>
        <v>-112682.50301319698</v>
      </c>
      <c r="G410" s="50">
        <v>-100000</v>
      </c>
      <c r="H410" s="43" t="s">
        <v>93</v>
      </c>
    </row>
    <row r="411" spans="1:8" x14ac:dyDescent="0.2">
      <c r="D411" s="492">
        <f>FV(D407,D408,D409,D410)</f>
        <v>181402.71996041748</v>
      </c>
      <c r="E411" s="295">
        <f>FV(E407,E408,E409,E410)</f>
        <v>170864.19056063873</v>
      </c>
      <c r="F411" s="295">
        <f>FV(F407,F408,F409,F410)</f>
        <v>134725.2482083473</v>
      </c>
      <c r="G411" s="295">
        <f>FV(G407,G408,G409,G410)</f>
        <v>112682.50301319698</v>
      </c>
      <c r="H411" s="43" t="s">
        <v>30</v>
      </c>
    </row>
    <row r="412" spans="1:8" x14ac:dyDescent="0.2">
      <c r="D412" s="711" t="s">
        <v>2509</v>
      </c>
      <c r="E412" s="711"/>
      <c r="F412" s="711"/>
      <c r="G412" s="711"/>
      <c r="H412" s="43" t="s">
        <v>95</v>
      </c>
    </row>
    <row r="414" spans="1:8" x14ac:dyDescent="0.2">
      <c r="A414" s="158" t="s">
        <v>2510</v>
      </c>
      <c r="B414" s="349"/>
      <c r="C414" s="349"/>
      <c r="D414" s="349"/>
      <c r="E414" s="349"/>
      <c r="F414" s="349"/>
      <c r="G414" s="349"/>
      <c r="H414" s="349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2512</v>
      </c>
    </row>
    <row r="421" spans="1:5" ht="16" thickBot="1" x14ac:dyDescent="0.25">
      <c r="A421" s="43" t="s">
        <v>170</v>
      </c>
    </row>
    <row r="422" spans="1:5" ht="16" thickBot="1" x14ac:dyDescent="0.25">
      <c r="D422" s="354">
        <f>RATE(D423,D424,D425,D426,,)</f>
        <v>8.0082298255286011E-2</v>
      </c>
      <c r="E422" s="43" t="s">
        <v>87</v>
      </c>
    </row>
    <row r="423" spans="1:5" x14ac:dyDescent="0.2">
      <c r="A423" s="43" t="s">
        <v>2511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2513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8" t="s">
        <v>2517</v>
      </c>
      <c r="B434" s="239"/>
      <c r="C434" s="239"/>
      <c r="D434" s="239"/>
      <c r="E434" s="239"/>
      <c r="F434" s="239"/>
      <c r="G434" s="239"/>
      <c r="H434" s="240"/>
    </row>
    <row r="435" spans="1:8" x14ac:dyDescent="0.2">
      <c r="A435" s="241" t="s">
        <v>2514</v>
      </c>
      <c r="B435" s="79"/>
      <c r="C435" s="79"/>
      <c r="D435" s="79"/>
      <c r="E435" s="79"/>
      <c r="F435" s="79"/>
      <c r="G435" s="79"/>
      <c r="H435" s="242"/>
    </row>
    <row r="436" spans="1:8" x14ac:dyDescent="0.2">
      <c r="A436" s="241" t="s">
        <v>2515</v>
      </c>
      <c r="B436" s="79"/>
      <c r="C436" s="79"/>
      <c r="D436" s="79"/>
      <c r="E436" s="79"/>
      <c r="F436" s="79"/>
      <c r="G436" s="79"/>
      <c r="H436" s="242"/>
    </row>
    <row r="437" spans="1:8" ht="16" thickBot="1" x14ac:dyDescent="0.25">
      <c r="A437" s="243" t="s">
        <v>2516</v>
      </c>
      <c r="B437" s="244"/>
      <c r="C437" s="244"/>
      <c r="D437" s="244"/>
      <c r="E437" s="244"/>
      <c r="F437" s="244"/>
      <c r="G437" s="244"/>
      <c r="H437" s="245"/>
    </row>
    <row r="441" spans="1:8" x14ac:dyDescent="0.2">
      <c r="A441" s="349" t="s">
        <v>175</v>
      </c>
      <c r="B441" s="349"/>
      <c r="C441" s="349"/>
      <c r="D441" s="349"/>
      <c r="E441" s="349"/>
      <c r="F441" s="349"/>
      <c r="G441" s="349"/>
      <c r="H441" s="349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2521</v>
      </c>
      <c r="F461" s="43" t="s">
        <v>2518</v>
      </c>
    </row>
    <row r="462" spans="1:6" x14ac:dyDescent="0.2">
      <c r="D462" s="43" t="s">
        <v>2522</v>
      </c>
      <c r="F462" s="43" t="s">
        <v>2519</v>
      </c>
    </row>
    <row r="463" spans="1:6" x14ac:dyDescent="0.2">
      <c r="D463" s="43" t="s">
        <v>2523</v>
      </c>
      <c r="F463" s="43" t="s">
        <v>2520</v>
      </c>
    </row>
    <row r="464" spans="1:6" x14ac:dyDescent="0.2">
      <c r="D464" s="43" t="s">
        <v>2524</v>
      </c>
    </row>
    <row r="465" spans="1:6" x14ac:dyDescent="0.2">
      <c r="D465" s="43" t="s">
        <v>2520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5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6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49" t="s">
        <v>200</v>
      </c>
      <c r="B483" s="349"/>
      <c r="C483" s="349"/>
      <c r="D483" s="349"/>
      <c r="E483" s="349"/>
      <c r="F483" s="349"/>
      <c r="G483" s="349"/>
      <c r="H483" s="349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2525</v>
      </c>
      <c r="E490" s="47"/>
    </row>
    <row r="491" spans="1:8" x14ac:dyDescent="0.2">
      <c r="A491" s="43" t="s">
        <v>2526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0" customFormat="1" ht="16" thickBot="1" x14ac:dyDescent="0.25">
      <c r="A494" s="290" t="s">
        <v>431</v>
      </c>
      <c r="E494" s="441">
        <v>0.06</v>
      </c>
      <c r="G494" s="290" t="s">
        <v>87</v>
      </c>
    </row>
    <row r="495" spans="1:8" ht="16" thickBot="1" x14ac:dyDescent="0.25">
      <c r="A495" s="43" t="s">
        <v>204</v>
      </c>
      <c r="E495" s="573">
        <f>NPER(E494,E496,E497,E499)</f>
        <v>6.9999970439799384</v>
      </c>
      <c r="G495" s="43" t="s">
        <v>89</v>
      </c>
    </row>
    <row r="496" spans="1:8" s="290" customFormat="1" x14ac:dyDescent="0.2">
      <c r="A496" s="290" t="s">
        <v>2528</v>
      </c>
      <c r="E496" s="29">
        <v>0</v>
      </c>
      <c r="G496" s="290" t="s">
        <v>91</v>
      </c>
    </row>
    <row r="497" spans="1:8" s="290" customFormat="1" x14ac:dyDescent="0.2">
      <c r="A497" s="290" t="s">
        <v>2527</v>
      </c>
      <c r="E497" s="295">
        <v>-3000</v>
      </c>
      <c r="G497" s="290" t="s">
        <v>93</v>
      </c>
    </row>
    <row r="498" spans="1:8" s="290" customFormat="1" x14ac:dyDescent="0.2">
      <c r="A498" s="290" t="s">
        <v>2529</v>
      </c>
      <c r="E498" s="29">
        <v>0</v>
      </c>
      <c r="G498" s="290" t="s">
        <v>95</v>
      </c>
    </row>
    <row r="499" spans="1:8" s="290" customFormat="1" x14ac:dyDescent="0.2">
      <c r="E499" s="29">
        <f>4510.89</f>
        <v>4510.8900000000003</v>
      </c>
      <c r="G499" s="290" t="s">
        <v>205</v>
      </c>
    </row>
    <row r="501" spans="1:8" x14ac:dyDescent="0.2">
      <c r="A501" s="44" t="s">
        <v>2530</v>
      </c>
    </row>
    <row r="505" spans="1:8" x14ac:dyDescent="0.2">
      <c r="A505" s="349" t="s">
        <v>206</v>
      </c>
      <c r="B505" s="349"/>
      <c r="C505" s="349"/>
      <c r="D505" s="349"/>
      <c r="E505" s="349"/>
      <c r="F505" s="349"/>
      <c r="G505" s="349"/>
      <c r="H505" s="349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2543</v>
      </c>
    </row>
    <row r="519" spans="1:6" x14ac:dyDescent="0.2">
      <c r="C519" s="43" t="s">
        <v>728</v>
      </c>
      <c r="D519" s="43" t="s">
        <v>2536</v>
      </c>
      <c r="F519" s="43" t="s">
        <v>2531</v>
      </c>
    </row>
    <row r="520" spans="1:6" x14ac:dyDescent="0.2">
      <c r="C520" s="43" t="s">
        <v>2540</v>
      </c>
      <c r="D520" s="43" t="s">
        <v>2537</v>
      </c>
      <c r="F520" s="43" t="s">
        <v>2532</v>
      </c>
    </row>
    <row r="521" spans="1:6" x14ac:dyDescent="0.2">
      <c r="C521" s="43" t="s">
        <v>2541</v>
      </c>
      <c r="D521" s="43" t="s">
        <v>2538</v>
      </c>
      <c r="F521" s="43" t="s">
        <v>2533</v>
      </c>
    </row>
    <row r="522" spans="1:6" x14ac:dyDescent="0.2">
      <c r="C522" s="43" t="s">
        <v>2542</v>
      </c>
      <c r="D522" s="43" t="s">
        <v>2539</v>
      </c>
      <c r="F522" s="43" t="s">
        <v>2534</v>
      </c>
    </row>
    <row r="523" spans="1:6" x14ac:dyDescent="0.2">
      <c r="F523" s="43" t="s">
        <v>2535</v>
      </c>
    </row>
    <row r="524" spans="1:6" x14ac:dyDescent="0.2">
      <c r="A524" s="43" t="s">
        <v>217</v>
      </c>
    </row>
    <row r="525" spans="1:6" x14ac:dyDescent="0.2">
      <c r="A525" s="43" t="s">
        <v>2544</v>
      </c>
    </row>
    <row r="526" spans="1:6" x14ac:dyDescent="0.2">
      <c r="A526" s="43" t="s">
        <v>2545</v>
      </c>
    </row>
    <row r="528" spans="1:6" x14ac:dyDescent="0.2">
      <c r="C528" s="47" t="s">
        <v>2547</v>
      </c>
      <c r="D528" s="47" t="s">
        <v>115</v>
      </c>
    </row>
    <row r="529" spans="1:7" x14ac:dyDescent="0.2">
      <c r="C529" s="47" t="s">
        <v>2548</v>
      </c>
      <c r="D529" s="47" t="s">
        <v>2546</v>
      </c>
    </row>
    <row r="530" spans="1:7" x14ac:dyDescent="0.2">
      <c r="C530" s="47" t="s">
        <v>2549</v>
      </c>
      <c r="D530" s="47" t="s">
        <v>218</v>
      </c>
    </row>
    <row r="531" spans="1:7" x14ac:dyDescent="0.2">
      <c r="C531" s="49" t="s">
        <v>2550</v>
      </c>
      <c r="D531" s="49">
        <v>8</v>
      </c>
    </row>
    <row r="532" spans="1:7" x14ac:dyDescent="0.2">
      <c r="A532" s="43" t="s">
        <v>2551</v>
      </c>
      <c r="C532" s="574">
        <f>D532</f>
        <v>8.0000000000000002E-3</v>
      </c>
      <c r="D532" s="574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2552</v>
      </c>
      <c r="C534" s="29">
        <v>0</v>
      </c>
      <c r="D534" s="29">
        <v>0</v>
      </c>
      <c r="G534" s="43" t="s">
        <v>91</v>
      </c>
    </row>
    <row r="535" spans="1:7" x14ac:dyDescent="0.2">
      <c r="C535" s="575">
        <f>-D538-3000</f>
        <v>-7263.2838422494606</v>
      </c>
      <c r="D535" s="295">
        <v>-4000</v>
      </c>
      <c r="G535" s="43" t="s">
        <v>93</v>
      </c>
    </row>
    <row r="536" spans="1:7" x14ac:dyDescent="0.2">
      <c r="C536" s="290"/>
      <c r="D536" s="29">
        <v>0</v>
      </c>
      <c r="G536" s="43" t="s">
        <v>95</v>
      </c>
    </row>
    <row r="537" spans="1:7" ht="16" thickBot="1" x14ac:dyDescent="0.25">
      <c r="C537" s="443"/>
      <c r="D537" s="443"/>
    </row>
    <row r="538" spans="1:7" ht="16" thickBot="1" x14ac:dyDescent="0.25">
      <c r="C538" s="576">
        <f>FV(C532,C533,C534,C535,C536)</f>
        <v>7498.512931152588</v>
      </c>
      <c r="D538" s="575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49" t="s">
        <v>224</v>
      </c>
      <c r="B553" s="349"/>
      <c r="C553" s="349"/>
      <c r="D553" s="158" t="s">
        <v>225</v>
      </c>
      <c r="E553" s="349"/>
      <c r="F553" s="349"/>
      <c r="G553" s="349"/>
      <c r="H553" s="349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7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49" t="s">
        <v>231</v>
      </c>
      <c r="B572" s="349"/>
      <c r="C572" s="349"/>
      <c r="D572" s="158" t="s">
        <v>225</v>
      </c>
      <c r="E572" s="349"/>
      <c r="F572" s="349"/>
      <c r="G572" s="349"/>
      <c r="H572" s="349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8">
        <v>1500000</v>
      </c>
      <c r="G592" s="149" t="s">
        <v>240</v>
      </c>
    </row>
    <row r="594" spans="1:8" x14ac:dyDescent="0.2">
      <c r="A594" s="349" t="s">
        <v>241</v>
      </c>
      <c r="B594" s="349"/>
      <c r="C594" s="349"/>
      <c r="D594" s="158" t="s">
        <v>225</v>
      </c>
      <c r="E594" s="349"/>
      <c r="F594" s="349"/>
      <c r="G594" s="349"/>
      <c r="H594" s="349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8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59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8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opLeftCell="A719" zoomScale="114" zoomScaleNormal="120" zoomScaleSheetLayoutView="100" workbookViewId="0">
      <selection activeCell="E199" sqref="E199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0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0" t="s">
        <v>273</v>
      </c>
      <c r="B19" s="361"/>
      <c r="C19" s="361"/>
      <c r="D19" s="361"/>
      <c r="E19" s="361"/>
      <c r="F19" s="361"/>
      <c r="G19" s="360"/>
      <c r="H19" s="360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2" t="s">
        <v>276</v>
      </c>
      <c r="B23" s="363"/>
      <c r="C23" s="363"/>
      <c r="D23" s="363"/>
      <c r="E23" s="363"/>
      <c r="F23" s="363"/>
      <c r="G23" s="364"/>
      <c r="H23" s="364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>
        <v>0.04</v>
      </c>
      <c r="C29" s="4" t="s">
        <v>87</v>
      </c>
      <c r="D29" s="7" t="s">
        <v>279</v>
      </c>
      <c r="E29" s="4"/>
      <c r="F29" s="4"/>
    </row>
    <row r="30" spans="1:8" x14ac:dyDescent="0.25">
      <c r="B30" s="370">
        <f>NPER(B29,B31,B32,B33)</f>
        <v>28.011022756637367</v>
      </c>
      <c r="C30" s="4" t="s">
        <v>89</v>
      </c>
      <c r="D30" s="7" t="s">
        <v>280</v>
      </c>
      <c r="E30" s="4"/>
      <c r="F30" s="4"/>
    </row>
    <row r="31" spans="1:8" x14ac:dyDescent="0.25">
      <c r="B31" s="4">
        <v>0</v>
      </c>
      <c r="C31" s="4" t="s">
        <v>91</v>
      </c>
      <c r="D31" s="7" t="s">
        <v>283</v>
      </c>
      <c r="E31" s="4"/>
      <c r="F31" s="4"/>
    </row>
    <row r="32" spans="1:8" x14ac:dyDescent="0.25">
      <c r="B32" s="4">
        <v>-80000</v>
      </c>
      <c r="C32" s="4" t="s">
        <v>281</v>
      </c>
      <c r="D32" s="7" t="s">
        <v>282</v>
      </c>
      <c r="E32" s="4"/>
      <c r="F32" s="4"/>
    </row>
    <row r="33" spans="1:8" x14ac:dyDescent="0.25">
      <c r="B33" s="4">
        <f>80000*3</f>
        <v>240000</v>
      </c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1" t="s">
        <v>3025</v>
      </c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2" t="s">
        <v>285</v>
      </c>
      <c r="B37" s="365"/>
      <c r="C37" s="365"/>
      <c r="D37" s="365"/>
      <c r="E37" s="365"/>
      <c r="F37" s="365"/>
      <c r="G37" s="362"/>
      <c r="H37" s="362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659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7">
        <f>RATE(B46,B47,B48,B49)</f>
        <v>5.9223841048813515E-2</v>
      </c>
      <c r="C45" s="373" t="s">
        <v>87</v>
      </c>
      <c r="D45" s="4"/>
      <c r="E45" s="377">
        <f>RATE(E46,E47,E48,E49)</f>
        <v>4.8062141804318132E-3</v>
      </c>
      <c r="F45" s="372"/>
      <c r="G45" s="373" t="s">
        <v>87</v>
      </c>
    </row>
    <row r="46" spans="1:8" ht="22" thickBot="1" x14ac:dyDescent="0.3">
      <c r="B46" s="374">
        <v>5</v>
      </c>
      <c r="C46" s="376" t="s">
        <v>89</v>
      </c>
      <c r="D46" s="4"/>
      <c r="E46" s="374">
        <f>5*12</f>
        <v>60</v>
      </c>
      <c r="F46" s="375"/>
      <c r="G46" s="376" t="s">
        <v>89</v>
      </c>
    </row>
    <row r="47" spans="1:8" x14ac:dyDescent="0.25">
      <c r="B47" s="4">
        <v>0</v>
      </c>
      <c r="C47" s="4" t="s">
        <v>91</v>
      </c>
      <c r="E47" s="4">
        <f>B47</f>
        <v>0</v>
      </c>
      <c r="F47" s="4"/>
      <c r="G47" s="4" t="s">
        <v>91</v>
      </c>
    </row>
    <row r="48" spans="1:8" x14ac:dyDescent="0.25">
      <c r="B48" s="4">
        <v>-6000</v>
      </c>
      <c r="C48" s="4" t="s">
        <v>281</v>
      </c>
      <c r="D48" s="4"/>
      <c r="E48" s="4">
        <f>B48</f>
        <v>-6000</v>
      </c>
      <c r="F48" s="4"/>
      <c r="G48" s="4" t="s">
        <v>281</v>
      </c>
    </row>
    <row r="49" spans="1:8" x14ac:dyDescent="0.25">
      <c r="B49" s="4">
        <v>8000</v>
      </c>
      <c r="C49" s="4" t="s">
        <v>105</v>
      </c>
      <c r="E49" s="4">
        <f>B49</f>
        <v>8000</v>
      </c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8">
        <f>B45/12</f>
        <v>4.9353200874011263E-3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2" t="s">
        <v>297</v>
      </c>
      <c r="B57" s="365"/>
      <c r="C57" s="365"/>
      <c r="D57" s="365"/>
      <c r="E57" s="365"/>
      <c r="F57" s="365"/>
      <c r="G57" s="362"/>
      <c r="H57" s="362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2553</v>
      </c>
      <c r="B72" s="25"/>
      <c r="C72" s="25"/>
      <c r="D72" s="25"/>
      <c r="E72" s="4"/>
      <c r="F72" s="4"/>
    </row>
    <row r="73" spans="1:8" x14ac:dyDescent="0.25">
      <c r="A73" s="1" t="s">
        <v>2554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2557</v>
      </c>
      <c r="C75" s="4" t="s">
        <v>2555</v>
      </c>
      <c r="D75" s="4"/>
      <c r="E75" s="4"/>
      <c r="F75" s="4"/>
    </row>
    <row r="76" spans="1:8" ht="22" thickBot="1" x14ac:dyDescent="0.3">
      <c r="B76" s="4" t="s">
        <v>2558</v>
      </c>
      <c r="C76" s="4" t="s">
        <v>2556</v>
      </c>
      <c r="D76" s="4"/>
      <c r="E76" s="4"/>
      <c r="F76" s="4"/>
    </row>
    <row r="77" spans="1:8" x14ac:dyDescent="0.25">
      <c r="B77" s="379" t="s">
        <v>308</v>
      </c>
      <c r="C77" s="379" t="s">
        <v>309</v>
      </c>
      <c r="E77" s="382"/>
      <c r="F77" s="372" t="s">
        <v>310</v>
      </c>
      <c r="G77" s="383"/>
      <c r="H77" s="384"/>
    </row>
    <row r="78" spans="1:8" x14ac:dyDescent="0.25">
      <c r="B78" s="14">
        <v>0.01</v>
      </c>
      <c r="C78" s="14">
        <v>0.01</v>
      </c>
      <c r="D78" s="4" t="s">
        <v>87</v>
      </c>
      <c r="E78" s="27"/>
      <c r="F78" s="4" t="s">
        <v>311</v>
      </c>
      <c r="H78" s="385"/>
    </row>
    <row r="79" spans="1:8" x14ac:dyDescent="0.25">
      <c r="B79" s="4">
        <v>9</v>
      </c>
      <c r="C79" s="4">
        <v>15</v>
      </c>
      <c r="D79" s="4" t="s">
        <v>89</v>
      </c>
      <c r="E79" s="27"/>
      <c r="F79" s="4" t="s">
        <v>312</v>
      </c>
      <c r="H79" s="385"/>
    </row>
    <row r="80" spans="1:8" x14ac:dyDescent="0.25">
      <c r="B80" s="4">
        <v>0</v>
      </c>
      <c r="C80" s="4">
        <v>0</v>
      </c>
      <c r="D80" s="4" t="s">
        <v>91</v>
      </c>
      <c r="E80" s="27"/>
      <c r="F80" s="4" t="s">
        <v>313</v>
      </c>
      <c r="H80" s="385"/>
    </row>
    <row r="81" spans="2:8" x14ac:dyDescent="0.25">
      <c r="B81" s="423">
        <f>-C82-3000</f>
        <v>-5321.9379107399964</v>
      </c>
      <c r="C81" s="4">
        <v>-2000</v>
      </c>
      <c r="D81" s="4" t="s">
        <v>281</v>
      </c>
      <c r="E81" s="27"/>
      <c r="F81" s="4" t="s">
        <v>314</v>
      </c>
      <c r="H81" s="385"/>
    </row>
    <row r="82" spans="2:8" ht="22" thickBot="1" x14ac:dyDescent="0.3">
      <c r="B82" s="390">
        <f>FV(B78,B79,B80,B81)</f>
        <v>5820.5251151169123</v>
      </c>
      <c r="C82" s="390">
        <f>FV(C78,C79,C80,C81)</f>
        <v>2321.9379107399968</v>
      </c>
      <c r="D82" s="4" t="s">
        <v>105</v>
      </c>
      <c r="E82" s="374"/>
      <c r="F82" s="375" t="s">
        <v>315</v>
      </c>
      <c r="G82" s="386"/>
      <c r="H82" s="387"/>
    </row>
    <row r="83" spans="2:8" ht="22" thickBot="1" x14ac:dyDescent="0.3">
      <c r="B83" s="388" t="s">
        <v>316</v>
      </c>
      <c r="C83" s="4"/>
      <c r="D83" s="4"/>
      <c r="E83" s="4"/>
      <c r="F83" s="4"/>
    </row>
    <row r="84" spans="2:8" x14ac:dyDescent="0.25">
      <c r="B84" s="4" t="s">
        <v>317</v>
      </c>
      <c r="C84" s="4"/>
    </row>
    <row r="85" spans="2:8" x14ac:dyDescent="0.25">
      <c r="B85" s="4"/>
      <c r="C85" s="4"/>
      <c r="D85" s="4"/>
      <c r="E85" s="4"/>
      <c r="F85" s="4"/>
    </row>
    <row r="86" spans="2:8" x14ac:dyDescent="0.25">
      <c r="B86" s="4"/>
      <c r="C86" s="4"/>
      <c r="D86" s="4"/>
      <c r="E86" s="4"/>
      <c r="F86" s="4"/>
    </row>
    <row r="87" spans="2:8" x14ac:dyDescent="0.25">
      <c r="B87" s="4"/>
      <c r="C87" s="4"/>
      <c r="D87" s="4"/>
      <c r="E87" s="4"/>
      <c r="F87" s="4"/>
    </row>
    <row r="88" spans="2:8" x14ac:dyDescent="0.25">
      <c r="B88" s="4"/>
      <c r="C88" s="4"/>
      <c r="D88" s="4"/>
      <c r="E88" s="4"/>
      <c r="F88" s="4"/>
    </row>
    <row r="89" spans="2:8" x14ac:dyDescent="0.25">
      <c r="B89" s="379"/>
      <c r="F89" s="379"/>
    </row>
    <row r="90" spans="2:8" x14ac:dyDescent="0.25">
      <c r="B90" s="14"/>
      <c r="F90" s="14"/>
      <c r="G90" s="4"/>
    </row>
    <row r="91" spans="2:8" x14ac:dyDescent="0.25">
      <c r="B91" s="4"/>
      <c r="F91" s="4"/>
      <c r="G91" s="4"/>
    </row>
    <row r="92" spans="2:8" x14ac:dyDescent="0.25">
      <c r="B92" s="4"/>
      <c r="F92" s="4"/>
      <c r="G92" s="4"/>
    </row>
    <row r="93" spans="2:8" ht="22" thickBot="1" x14ac:dyDescent="0.3">
      <c r="B93" s="4"/>
      <c r="F93" s="4"/>
      <c r="G93" s="4"/>
    </row>
    <row r="94" spans="2:8" ht="22" thickBot="1" x14ac:dyDescent="0.3">
      <c r="B94" s="660"/>
      <c r="F94" s="661"/>
      <c r="G94" s="4"/>
    </row>
    <row r="95" spans="2:8" ht="22" thickBot="1" x14ac:dyDescent="0.3">
      <c r="D95" s="4"/>
      <c r="E95" s="4"/>
      <c r="F95" s="4"/>
    </row>
    <row r="96" spans="2:8" ht="22" thickBot="1" x14ac:dyDescent="0.3">
      <c r="B96" s="4"/>
      <c r="C96" s="4"/>
      <c r="D96" s="660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2" t="s">
        <v>318</v>
      </c>
      <c r="B105" s="363"/>
      <c r="C105" s="363"/>
      <c r="D105" s="363"/>
      <c r="E105" s="363"/>
      <c r="F105" s="363"/>
      <c r="G105" s="364"/>
      <c r="H105" s="364"/>
    </row>
    <row r="106" spans="1:8" x14ac:dyDescent="0.25">
      <c r="A106" s="1" t="s">
        <v>319</v>
      </c>
      <c r="B106" s="4"/>
      <c r="C106" s="4"/>
      <c r="D106" s="4"/>
      <c r="E106" s="4"/>
      <c r="F106" s="4"/>
    </row>
    <row r="107" spans="1:8" x14ac:dyDescent="0.25">
      <c r="A107" s="1" t="s">
        <v>320</v>
      </c>
      <c r="B107" s="4"/>
      <c r="C107" s="4"/>
      <c r="D107" s="4"/>
      <c r="E107" s="4"/>
      <c r="F107" s="4"/>
    </row>
    <row r="108" spans="1:8" x14ac:dyDescent="0.25">
      <c r="A108" s="1" t="s">
        <v>2559</v>
      </c>
      <c r="B108" s="4"/>
      <c r="C108" s="4"/>
      <c r="D108" s="4"/>
      <c r="E108" s="4"/>
      <c r="F108" s="4"/>
    </row>
    <row r="109" spans="1:8" x14ac:dyDescent="0.25">
      <c r="A109" s="1" t="s">
        <v>321</v>
      </c>
      <c r="B109" s="4"/>
      <c r="C109" s="4"/>
      <c r="D109" s="4"/>
      <c r="E109" s="4"/>
      <c r="F109" s="4"/>
    </row>
    <row r="110" spans="1:8" x14ac:dyDescent="0.25">
      <c r="A110" s="1" t="s">
        <v>322</v>
      </c>
      <c r="B110" s="4"/>
      <c r="C110" s="4"/>
      <c r="D110" s="4"/>
      <c r="E110" s="4"/>
      <c r="F110" s="4"/>
    </row>
    <row r="111" spans="1:8" x14ac:dyDescent="0.25">
      <c r="A111" s="1" t="s">
        <v>323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2560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2562</v>
      </c>
      <c r="B116" s="4"/>
      <c r="C116" s="389">
        <v>8.0000000000000002E-3</v>
      </c>
      <c r="D116" s="4" t="s">
        <v>87</v>
      </c>
      <c r="E116" s="7" t="s">
        <v>2561</v>
      </c>
      <c r="F116" s="4"/>
    </row>
    <row r="117" spans="1:6" x14ac:dyDescent="0.25">
      <c r="B117" s="4"/>
      <c r="C117" s="4">
        <f>12*10</f>
        <v>120</v>
      </c>
      <c r="D117" s="4" t="s">
        <v>89</v>
      </c>
      <c r="E117" s="7" t="s">
        <v>324</v>
      </c>
      <c r="F117" s="4"/>
    </row>
    <row r="118" spans="1:6" x14ac:dyDescent="0.25">
      <c r="B118" s="4"/>
      <c r="C118" s="391">
        <f>PMT(C116,C117,C119,C120,C121)</f>
        <v>-12486.422924872808</v>
      </c>
      <c r="D118" s="4" t="s">
        <v>91</v>
      </c>
      <c r="E118" s="7" t="s">
        <v>326</v>
      </c>
      <c r="F118" s="4"/>
    </row>
    <row r="119" spans="1:6" x14ac:dyDescent="0.25">
      <c r="B119" s="4"/>
      <c r="C119" s="4">
        <v>0</v>
      </c>
      <c r="D119" s="4" t="s">
        <v>281</v>
      </c>
      <c r="E119" s="7" t="s">
        <v>325</v>
      </c>
      <c r="F119" s="4"/>
    </row>
    <row r="120" spans="1:6" x14ac:dyDescent="0.25">
      <c r="B120" s="4"/>
      <c r="C120" s="4">
        <v>2500000</v>
      </c>
      <c r="D120" s="4" t="s">
        <v>105</v>
      </c>
      <c r="E120" s="7" t="s">
        <v>327</v>
      </c>
      <c r="F120" s="4"/>
    </row>
    <row r="121" spans="1:6" x14ac:dyDescent="0.25">
      <c r="B121" s="4"/>
      <c r="C121" s="4">
        <v>0</v>
      </c>
      <c r="D121" s="4" t="s">
        <v>328</v>
      </c>
      <c r="E121" s="7" t="s">
        <v>329</v>
      </c>
      <c r="F121" s="4"/>
    </row>
    <row r="122" spans="1:6" x14ac:dyDescent="0.25">
      <c r="B122" s="4"/>
      <c r="C122" s="4"/>
      <c r="D122" s="4"/>
      <c r="E122" s="7" t="s">
        <v>330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2563</v>
      </c>
      <c r="B124" s="4"/>
      <c r="C124" s="389">
        <f>C116</f>
        <v>8.0000000000000002E-3</v>
      </c>
      <c r="D124" s="4" t="s">
        <v>87</v>
      </c>
      <c r="E124" s="7" t="s">
        <v>2566</v>
      </c>
      <c r="F124" s="4"/>
    </row>
    <row r="125" spans="1:6" x14ac:dyDescent="0.25">
      <c r="B125" s="4"/>
      <c r="C125" s="4">
        <f>C117</f>
        <v>120</v>
      </c>
      <c r="D125" s="4" t="s">
        <v>89</v>
      </c>
      <c r="E125" s="7" t="s">
        <v>2565</v>
      </c>
      <c r="F125" s="4"/>
    </row>
    <row r="126" spans="1:6" x14ac:dyDescent="0.25">
      <c r="B126" s="4"/>
      <c r="C126" s="391">
        <f>PMT(C124,C125,C127,C128,C129)</f>
        <v>-12387.32433023096</v>
      </c>
      <c r="D126" s="4" t="s">
        <v>91</v>
      </c>
      <c r="E126" s="7"/>
      <c r="F126" s="4"/>
    </row>
    <row r="127" spans="1:6" x14ac:dyDescent="0.25">
      <c r="B127" s="4"/>
      <c r="C127" s="4">
        <f>C119</f>
        <v>0</v>
      </c>
      <c r="D127" s="4" t="s">
        <v>281</v>
      </c>
      <c r="E127" s="7" t="s">
        <v>2564</v>
      </c>
      <c r="F127" s="4"/>
    </row>
    <row r="128" spans="1:6" x14ac:dyDescent="0.25">
      <c r="B128" s="4"/>
      <c r="C128" s="4">
        <f>C120</f>
        <v>2500000</v>
      </c>
      <c r="D128" s="4" t="s">
        <v>105</v>
      </c>
      <c r="E128" s="7"/>
      <c r="F128" s="4"/>
    </row>
    <row r="129" spans="1:10" x14ac:dyDescent="0.25">
      <c r="B129" s="4"/>
      <c r="C129" s="4">
        <v>1</v>
      </c>
      <c r="D129" s="4" t="s">
        <v>328</v>
      </c>
      <c r="E129" s="7" t="s">
        <v>331</v>
      </c>
      <c r="F129" s="4"/>
    </row>
    <row r="130" spans="1:10" x14ac:dyDescent="0.25">
      <c r="B130" s="4"/>
      <c r="C130" s="4"/>
      <c r="D130" s="4"/>
      <c r="E130" s="7" t="s">
        <v>332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0" t="s">
        <v>333</v>
      </c>
      <c r="B132" s="392"/>
      <c r="C132" s="392"/>
      <c r="D132" s="392"/>
      <c r="E132" s="392"/>
      <c r="F132" s="392"/>
      <c r="G132" s="393"/>
      <c r="H132" s="393"/>
      <c r="I132" s="393"/>
      <c r="J132" s="394"/>
    </row>
    <row r="133" spans="1:10" x14ac:dyDescent="0.25">
      <c r="A133" s="401" t="s">
        <v>334</v>
      </c>
      <c r="B133" s="25"/>
      <c r="C133" s="25"/>
      <c r="D133" s="25"/>
      <c r="E133" s="25"/>
      <c r="F133" s="25"/>
      <c r="G133" s="19"/>
      <c r="H133" s="19"/>
      <c r="I133" s="19"/>
      <c r="J133" s="396"/>
    </row>
    <row r="134" spans="1:10" x14ac:dyDescent="0.25">
      <c r="A134" s="401" t="s">
        <v>335</v>
      </c>
      <c r="B134" s="25"/>
      <c r="C134" s="25"/>
      <c r="D134" s="25"/>
      <c r="E134" s="25"/>
      <c r="F134" s="25"/>
      <c r="G134" s="19"/>
      <c r="H134" s="19"/>
      <c r="I134" s="19"/>
      <c r="J134" s="396"/>
    </row>
    <row r="135" spans="1:10" ht="22" thickBot="1" x14ac:dyDescent="0.3">
      <c r="A135" s="402" t="s">
        <v>336</v>
      </c>
      <c r="B135" s="397"/>
      <c r="C135" s="397"/>
      <c r="D135" s="397"/>
      <c r="E135" s="397"/>
      <c r="F135" s="397"/>
      <c r="G135" s="398"/>
      <c r="H135" s="398"/>
      <c r="I135" s="398"/>
      <c r="J135" s="399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2" t="s">
        <v>337</v>
      </c>
      <c r="B137" s="363"/>
      <c r="C137" s="363"/>
      <c r="D137" s="363"/>
      <c r="E137" s="363"/>
      <c r="F137" s="363"/>
      <c r="G137" s="364"/>
      <c r="H137" s="364"/>
    </row>
    <row r="138" spans="1:10" x14ac:dyDescent="0.25">
      <c r="A138" s="1" t="s">
        <v>338</v>
      </c>
      <c r="B138" s="4"/>
      <c r="C138" s="4"/>
      <c r="D138" s="4"/>
      <c r="E138" s="4"/>
      <c r="F138" s="4"/>
    </row>
    <row r="139" spans="1:10" x14ac:dyDescent="0.25">
      <c r="A139" s="1" t="s">
        <v>339</v>
      </c>
      <c r="B139" s="4"/>
      <c r="C139" s="4"/>
      <c r="D139" s="4"/>
      <c r="E139" s="4"/>
      <c r="F139" s="4"/>
    </row>
    <row r="140" spans="1:10" x14ac:dyDescent="0.25">
      <c r="A140" s="403" t="s">
        <v>340</v>
      </c>
      <c r="B140" s="715" t="s">
        <v>341</v>
      </c>
      <c r="C140" s="715"/>
      <c r="D140" s="4"/>
      <c r="E140" s="4"/>
      <c r="F140" s="4"/>
    </row>
    <row r="141" spans="1:10" x14ac:dyDescent="0.25">
      <c r="A141" s="403" t="s">
        <v>342</v>
      </c>
      <c r="B141" s="404"/>
      <c r="C141" s="404"/>
      <c r="D141" s="4"/>
      <c r="E141" s="4"/>
      <c r="F141" s="4"/>
    </row>
    <row r="142" spans="1:10" x14ac:dyDescent="0.25">
      <c r="A142" s="407" t="s">
        <v>343</v>
      </c>
      <c r="B142" s="408"/>
      <c r="C142" s="408"/>
      <c r="D142" s="408"/>
      <c r="E142" s="408"/>
      <c r="F142" s="408"/>
    </row>
    <row r="143" spans="1:10" x14ac:dyDescent="0.25">
      <c r="A143" s="411" t="s">
        <v>344</v>
      </c>
      <c r="B143" s="412"/>
      <c r="C143" s="412"/>
      <c r="D143" s="412"/>
      <c r="E143" s="412"/>
      <c r="F143" s="412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345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2567</v>
      </c>
      <c r="B147" s="4"/>
      <c r="C147" s="4"/>
      <c r="D147" s="4"/>
      <c r="E147" s="4"/>
      <c r="F147" s="4"/>
    </row>
    <row r="148" spans="1:6" x14ac:dyDescent="0.25">
      <c r="A148" s="1" t="s">
        <v>2568</v>
      </c>
      <c r="B148" s="4"/>
      <c r="C148" s="4"/>
      <c r="D148" s="4"/>
      <c r="E148" s="4"/>
      <c r="F148" s="4"/>
    </row>
    <row r="149" spans="1:6" x14ac:dyDescent="0.25">
      <c r="A149" s="1" t="s">
        <v>2569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77" t="s">
        <v>2572</v>
      </c>
      <c r="D151" s="577" t="s">
        <v>2571</v>
      </c>
      <c r="E151" s="382" t="s">
        <v>2570</v>
      </c>
      <c r="F151" s="373">
        <v>0</v>
      </c>
    </row>
    <row r="152" spans="1:6" x14ac:dyDescent="0.25">
      <c r="A152" s="1" t="s">
        <v>2602</v>
      </c>
      <c r="B152" s="4"/>
      <c r="C152" s="578"/>
      <c r="D152" s="578"/>
      <c r="E152" s="27"/>
      <c r="F152" s="416"/>
    </row>
    <row r="153" spans="1:6" x14ac:dyDescent="0.25">
      <c r="B153" s="4"/>
      <c r="C153" s="578" t="s">
        <v>2578</v>
      </c>
      <c r="D153" s="578" t="s">
        <v>2576</v>
      </c>
      <c r="E153" s="27" t="s">
        <v>2573</v>
      </c>
      <c r="F153" s="416">
        <v>-10000</v>
      </c>
    </row>
    <row r="154" spans="1:6" x14ac:dyDescent="0.25">
      <c r="B154" s="4"/>
      <c r="C154" s="578" t="s">
        <v>2579</v>
      </c>
      <c r="D154" s="578" t="s">
        <v>2577</v>
      </c>
      <c r="E154" s="27" t="s">
        <v>2574</v>
      </c>
      <c r="F154" s="416"/>
    </row>
    <row r="155" spans="1:6" ht="22" thickBot="1" x14ac:dyDescent="0.3">
      <c r="B155" s="4"/>
      <c r="C155" s="579" t="s">
        <v>2575</v>
      </c>
      <c r="D155" s="579" t="s">
        <v>2575</v>
      </c>
      <c r="E155" s="374" t="s">
        <v>2575</v>
      </c>
      <c r="F155" s="376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2"/>
      <c r="D159" s="408"/>
      <c r="E159" s="404" t="s">
        <v>346</v>
      </c>
      <c r="F159" s="4"/>
    </row>
    <row r="160" spans="1:6" x14ac:dyDescent="0.25">
      <c r="B160" s="4"/>
      <c r="C160" s="412" t="s">
        <v>347</v>
      </c>
      <c r="D160" s="408" t="s">
        <v>348</v>
      </c>
      <c r="E160" s="404" t="s">
        <v>349</v>
      </c>
      <c r="F160" s="4"/>
    </row>
    <row r="161" spans="1:8" x14ac:dyDescent="0.25">
      <c r="B161" s="4"/>
      <c r="C161" s="413" t="s">
        <v>350</v>
      </c>
      <c r="D161" s="409" t="s">
        <v>351</v>
      </c>
      <c r="E161" s="405" t="s">
        <v>352</v>
      </c>
      <c r="F161" s="4"/>
    </row>
    <row r="162" spans="1:8" x14ac:dyDescent="0.25">
      <c r="B162" s="4"/>
      <c r="C162" s="414">
        <v>8.0000000000000002E-3</v>
      </c>
      <c r="D162" s="410">
        <v>8.0000000000000002E-3</v>
      </c>
      <c r="E162" s="406">
        <v>8.0000000000000002E-3</v>
      </c>
      <c r="F162" s="4" t="s">
        <v>87</v>
      </c>
    </row>
    <row r="163" spans="1:8" x14ac:dyDescent="0.25">
      <c r="B163" s="4"/>
      <c r="C163" s="412">
        <v>36</v>
      </c>
      <c r="D163" s="408">
        <f>5*12</f>
        <v>60</v>
      </c>
      <c r="E163" s="404">
        <v>24</v>
      </c>
      <c r="F163" s="4" t="s">
        <v>89</v>
      </c>
    </row>
    <row r="164" spans="1:8" x14ac:dyDescent="0.25">
      <c r="B164" s="4"/>
      <c r="C164" s="412">
        <v>-200</v>
      </c>
      <c r="D164" s="408">
        <v>0</v>
      </c>
      <c r="E164" s="404">
        <v>-1000</v>
      </c>
      <c r="F164" s="4" t="s">
        <v>91</v>
      </c>
    </row>
    <row r="165" spans="1:8" ht="22" thickBot="1" x14ac:dyDescent="0.3">
      <c r="B165" s="4"/>
      <c r="C165" s="415">
        <f>-D166</f>
        <v>-62020.4813617537</v>
      </c>
      <c r="D165" s="390">
        <f>-E166</f>
        <v>-38450.607520009129</v>
      </c>
      <c r="E165" s="404">
        <v>-10000</v>
      </c>
      <c r="F165" s="4" t="s">
        <v>281</v>
      </c>
    </row>
    <row r="166" spans="1:8" ht="27" thickBot="1" x14ac:dyDescent="0.35">
      <c r="B166" s="4"/>
      <c r="C166" s="664">
        <f>FV(C162,C163,C164,C165,C167)</f>
        <v>90931.281681329478</v>
      </c>
      <c r="D166" s="663">
        <f>FV(D162,D163,D164,D165)</f>
        <v>62020.4813617537</v>
      </c>
      <c r="E166" s="390">
        <f>FV(E162,E163,E164,E165,E167)</f>
        <v>38450.607520009129</v>
      </c>
      <c r="F166" s="4" t="s">
        <v>105</v>
      </c>
    </row>
    <row r="167" spans="1:8" ht="66" x14ac:dyDescent="0.25">
      <c r="B167" s="4"/>
      <c r="C167" s="412">
        <v>0</v>
      </c>
      <c r="D167" s="662" t="s">
        <v>3026</v>
      </c>
      <c r="E167" s="404">
        <v>0</v>
      </c>
      <c r="F167" s="4" t="s">
        <v>328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353</v>
      </c>
      <c r="B169" s="25"/>
      <c r="C169" s="25"/>
      <c r="D169" s="25"/>
      <c r="E169" s="4"/>
      <c r="F169" s="4"/>
    </row>
    <row r="170" spans="1:8" x14ac:dyDescent="0.25">
      <c r="A170" s="19" t="s">
        <v>354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2" t="s">
        <v>355</v>
      </c>
      <c r="B175" s="363"/>
      <c r="C175" s="363"/>
      <c r="D175" s="363"/>
      <c r="E175" s="363"/>
      <c r="F175" s="363" t="s">
        <v>780</v>
      </c>
      <c r="G175" s="364"/>
      <c r="H175" s="364"/>
    </row>
    <row r="176" spans="1:8" x14ac:dyDescent="0.25">
      <c r="A176" s="1" t="s">
        <v>356</v>
      </c>
      <c r="B176" s="4"/>
      <c r="C176" s="4"/>
      <c r="D176" s="4"/>
      <c r="E176" s="4"/>
      <c r="F176" s="4"/>
    </row>
    <row r="177" spans="1:10" x14ac:dyDescent="0.25">
      <c r="A177" s="1" t="s">
        <v>357</v>
      </c>
      <c r="B177" s="4"/>
      <c r="C177" s="4"/>
      <c r="D177" s="4"/>
      <c r="E177" s="4"/>
      <c r="F177" s="4"/>
    </row>
    <row r="178" spans="1:10" x14ac:dyDescent="0.25">
      <c r="A178" s="1" t="s">
        <v>321</v>
      </c>
      <c r="B178" s="4"/>
      <c r="C178" s="4"/>
      <c r="D178" s="4"/>
      <c r="E178" s="4"/>
      <c r="F178" s="4"/>
    </row>
    <row r="179" spans="1:10" x14ac:dyDescent="0.25">
      <c r="A179" s="1" t="s">
        <v>358</v>
      </c>
      <c r="B179" s="4"/>
      <c r="C179" s="4"/>
      <c r="D179" s="4"/>
      <c r="E179" s="4"/>
      <c r="F179" s="4"/>
    </row>
    <row r="180" spans="1:10" x14ac:dyDescent="0.25">
      <c r="A180" s="1" t="s">
        <v>359</v>
      </c>
      <c r="B180" s="4"/>
      <c r="C180" s="4"/>
      <c r="D180" s="4"/>
      <c r="E180" s="4"/>
      <c r="F180" s="4"/>
    </row>
    <row r="181" spans="1:10" x14ac:dyDescent="0.25">
      <c r="A181" s="1" t="s">
        <v>360</v>
      </c>
      <c r="B181" s="4"/>
      <c r="C181" s="4"/>
      <c r="D181" s="4"/>
      <c r="E181" s="4"/>
      <c r="F181" s="4"/>
    </row>
    <row r="182" spans="1:10" x14ac:dyDescent="0.25">
      <c r="A182" s="1" t="s">
        <v>361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18" t="s">
        <v>362</v>
      </c>
      <c r="B186" s="4" t="s">
        <v>363</v>
      </c>
      <c r="C186" s="419" t="s">
        <v>364</v>
      </c>
      <c r="D186" s="4" t="s">
        <v>3027</v>
      </c>
      <c r="E186" s="4" t="s">
        <v>365</v>
      </c>
      <c r="F186" s="4"/>
      <c r="G186" s="419" t="s">
        <v>366</v>
      </c>
      <c r="H186" s="4" t="s">
        <v>367</v>
      </c>
    </row>
    <row r="187" spans="1:10" x14ac:dyDescent="0.25">
      <c r="A187" s="420">
        <v>0.04</v>
      </c>
      <c r="B187" s="373" t="s">
        <v>87</v>
      </c>
      <c r="C187" s="382"/>
      <c r="D187" s="422">
        <v>0.04</v>
      </c>
      <c r="E187" s="422">
        <v>0.04</v>
      </c>
      <c r="F187" s="373" t="s">
        <v>368</v>
      </c>
      <c r="G187" s="382"/>
      <c r="H187" s="422">
        <v>0.04</v>
      </c>
      <c r="I187" s="372" t="s">
        <v>368</v>
      </c>
      <c r="J187" s="384"/>
    </row>
    <row r="188" spans="1:10" x14ac:dyDescent="0.25">
      <c r="A188" s="27">
        <v>5</v>
      </c>
      <c r="B188" s="416" t="s">
        <v>89</v>
      </c>
      <c r="C188" s="27"/>
      <c r="D188" s="4">
        <v>3</v>
      </c>
      <c r="E188" s="4">
        <v>2</v>
      </c>
      <c r="F188" s="416" t="s">
        <v>89</v>
      </c>
      <c r="G188" s="28"/>
      <c r="H188" s="4">
        <v>4</v>
      </c>
      <c r="I188" s="4" t="s">
        <v>89</v>
      </c>
      <c r="J188" s="385"/>
    </row>
    <row r="189" spans="1:10" x14ac:dyDescent="0.25">
      <c r="A189" s="27">
        <v>0</v>
      </c>
      <c r="B189" s="416" t="s">
        <v>91</v>
      </c>
      <c r="C189" s="27"/>
      <c r="D189" s="4">
        <v>0</v>
      </c>
      <c r="E189" s="4">
        <v>0</v>
      </c>
      <c r="F189" s="416" t="s">
        <v>91</v>
      </c>
      <c r="G189" s="28"/>
      <c r="H189" s="4">
        <v>0</v>
      </c>
      <c r="I189" s="4" t="s">
        <v>91</v>
      </c>
      <c r="J189" s="385"/>
    </row>
    <row r="190" spans="1:10" x14ac:dyDescent="0.25">
      <c r="A190" s="27">
        <v>-40000</v>
      </c>
      <c r="B190" s="416" t="s">
        <v>281</v>
      </c>
      <c r="C190" s="27"/>
      <c r="D190" s="424">
        <f>-E191-10000</f>
        <v>-53264.000000000007</v>
      </c>
      <c r="E190" s="4">
        <v>-40000</v>
      </c>
      <c r="F190" s="416" t="s">
        <v>281</v>
      </c>
      <c r="G190" s="28"/>
      <c r="H190" s="4">
        <v>-70000</v>
      </c>
      <c r="I190" s="4" t="s">
        <v>281</v>
      </c>
      <c r="J190" s="385"/>
    </row>
    <row r="191" spans="1:10" x14ac:dyDescent="0.25">
      <c r="A191" s="421">
        <f>FV(A187,A188,A189,A190)</f>
        <v>48666.116096000012</v>
      </c>
      <c r="B191" s="416" t="s">
        <v>105</v>
      </c>
      <c r="C191" s="27"/>
      <c r="D191" s="665">
        <f>FV(D187,D188,D189,D190)</f>
        <v>59914.756096000012</v>
      </c>
      <c r="E191" s="421">
        <f>FV(E187,E188,E189,E190)</f>
        <v>43264.000000000007</v>
      </c>
      <c r="F191" s="416" t="s">
        <v>105</v>
      </c>
      <c r="G191" s="28"/>
      <c r="H191" s="421">
        <f>FV(H187,H188,H189,H190)</f>
        <v>81890.099200000011</v>
      </c>
      <c r="I191" s="4" t="s">
        <v>105</v>
      </c>
      <c r="J191" s="385"/>
    </row>
    <row r="192" spans="1:10" x14ac:dyDescent="0.25">
      <c r="A192" s="395" t="s">
        <v>369</v>
      </c>
      <c r="B192" s="416"/>
      <c r="C192" s="27"/>
      <c r="D192" s="395" t="s">
        <v>369</v>
      </c>
      <c r="E192" s="4"/>
      <c r="F192" s="416"/>
      <c r="G192" s="28"/>
      <c r="H192" s="395" t="s">
        <v>369</v>
      </c>
      <c r="J192" s="385"/>
    </row>
    <row r="193" spans="1:10" x14ac:dyDescent="0.25">
      <c r="A193" s="28" t="s">
        <v>370</v>
      </c>
      <c r="B193" s="416"/>
      <c r="C193" s="27"/>
      <c r="D193" s="1" t="s">
        <v>370</v>
      </c>
      <c r="E193" s="4"/>
      <c r="F193" s="416"/>
      <c r="G193" s="28" t="s">
        <v>370</v>
      </c>
      <c r="J193" s="385"/>
    </row>
    <row r="194" spans="1:10" ht="22" thickBot="1" x14ac:dyDescent="0.3">
      <c r="A194" s="417"/>
      <c r="B194" s="376" t="s">
        <v>371</v>
      </c>
      <c r="C194" s="374"/>
      <c r="D194" s="375"/>
      <c r="E194" s="375" t="s">
        <v>371</v>
      </c>
      <c r="F194" s="376"/>
      <c r="G194" s="417"/>
      <c r="H194" s="386" t="s">
        <v>371</v>
      </c>
      <c r="I194" s="386"/>
      <c r="J194" s="387"/>
    </row>
    <row r="195" spans="1:10" x14ac:dyDescent="0.25">
      <c r="A195" s="1" t="s">
        <v>372</v>
      </c>
      <c r="B195" s="423">
        <f>100000-A191</f>
        <v>51333.883903999988</v>
      </c>
      <c r="C195" s="4"/>
      <c r="D195" s="1" t="s">
        <v>372</v>
      </c>
      <c r="E195" s="423">
        <f>100000-D191</f>
        <v>40085.243903999988</v>
      </c>
      <c r="F195" s="4"/>
      <c r="H195" s="1" t="s">
        <v>372</v>
      </c>
      <c r="I195" s="716">
        <f>100000-H191</f>
        <v>18109.900799999989</v>
      </c>
      <c r="J195" s="716"/>
    </row>
    <row r="196" spans="1:10" x14ac:dyDescent="0.25">
      <c r="B196" s="423"/>
      <c r="C196" s="4"/>
      <c r="E196" s="423"/>
      <c r="F196" s="4"/>
      <c r="I196" s="423"/>
      <c r="J196" s="423"/>
    </row>
    <row r="197" spans="1:10" x14ac:dyDescent="0.25">
      <c r="B197" s="4"/>
      <c r="C197" s="4"/>
      <c r="D197" s="4"/>
      <c r="E197" s="4"/>
      <c r="F197" s="4"/>
      <c r="G197" s="1" t="s">
        <v>373</v>
      </c>
    </row>
    <row r="198" spans="1:10" x14ac:dyDescent="0.25">
      <c r="B198" s="4"/>
      <c r="C198" s="4"/>
      <c r="D198" s="4"/>
      <c r="E198" s="4"/>
      <c r="F198" s="4"/>
      <c r="G198" s="1" t="s">
        <v>374</v>
      </c>
    </row>
    <row r="199" spans="1:10" x14ac:dyDescent="0.25">
      <c r="B199" s="4"/>
      <c r="C199" s="4"/>
      <c r="D199" s="4"/>
      <c r="E199" s="4"/>
      <c r="F199" s="4"/>
      <c r="G199" s="1" t="s">
        <v>375</v>
      </c>
    </row>
    <row r="200" spans="1:10" x14ac:dyDescent="0.25">
      <c r="B200" s="4"/>
      <c r="C200" s="4"/>
      <c r="D200" s="4"/>
      <c r="E200" s="4"/>
      <c r="F200" s="4"/>
      <c r="G200" s="1" t="s">
        <v>376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25" t="s">
        <v>377</v>
      </c>
      <c r="B202" s="426"/>
      <c r="C202" s="426"/>
      <c r="D202" s="372"/>
      <c r="E202" s="372"/>
      <c r="F202" s="372"/>
      <c r="G202" s="383"/>
      <c r="H202" s="383"/>
      <c r="I202" s="383"/>
      <c r="J202" s="384"/>
    </row>
    <row r="203" spans="1:10" x14ac:dyDescent="0.25">
      <c r="A203" s="28" t="s">
        <v>378</v>
      </c>
      <c r="B203" s="4"/>
      <c r="C203" s="4"/>
      <c r="D203" s="4"/>
      <c r="E203" s="4"/>
      <c r="F203" s="4"/>
      <c r="J203" s="385"/>
    </row>
    <row r="204" spans="1:10" x14ac:dyDescent="0.25">
      <c r="A204" s="28" t="s">
        <v>379</v>
      </c>
      <c r="B204" s="4"/>
      <c r="C204" s="4"/>
      <c r="D204" s="4"/>
      <c r="E204" s="4"/>
      <c r="F204" s="4"/>
      <c r="J204" s="385"/>
    </row>
    <row r="205" spans="1:10" x14ac:dyDescent="0.25">
      <c r="A205" s="28" t="s">
        <v>380</v>
      </c>
      <c r="B205" s="4"/>
      <c r="C205" s="4"/>
      <c r="D205" s="4"/>
      <c r="E205" s="4"/>
      <c r="F205" s="4"/>
      <c r="J205" s="385"/>
    </row>
    <row r="206" spans="1:10" x14ac:dyDescent="0.25">
      <c r="A206" s="28"/>
      <c r="B206" s="4" t="s">
        <v>381</v>
      </c>
      <c r="C206" s="4"/>
      <c r="D206" s="4"/>
      <c r="E206" s="4"/>
      <c r="F206" s="4"/>
      <c r="J206" s="385"/>
    </row>
    <row r="207" spans="1:10" ht="22" thickBot="1" x14ac:dyDescent="0.3">
      <c r="A207" s="417"/>
      <c r="B207" s="427" t="s">
        <v>382</v>
      </c>
      <c r="C207" s="375"/>
      <c r="D207" s="375"/>
      <c r="E207" s="375"/>
      <c r="F207" s="375"/>
      <c r="G207" s="386"/>
      <c r="H207" s="386"/>
      <c r="I207" s="386"/>
      <c r="J207" s="387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2" t="s">
        <v>383</v>
      </c>
      <c r="B214" s="363"/>
      <c r="C214" s="363"/>
      <c r="D214" s="363"/>
      <c r="E214" s="365" t="s">
        <v>384</v>
      </c>
      <c r="F214" s="363"/>
      <c r="G214" s="364"/>
      <c r="H214" s="364"/>
    </row>
    <row r="215" spans="1:8" x14ac:dyDescent="0.25">
      <c r="A215" s="1" t="s">
        <v>385</v>
      </c>
      <c r="B215" s="4"/>
      <c r="C215" s="4"/>
      <c r="D215" s="4"/>
      <c r="E215" s="4"/>
      <c r="F215" s="4"/>
    </row>
    <row r="216" spans="1:8" x14ac:dyDescent="0.25">
      <c r="A216" s="1" t="s">
        <v>386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387</v>
      </c>
      <c r="D219" s="4" t="s">
        <v>388</v>
      </c>
      <c r="E219" s="4"/>
      <c r="F219" s="4"/>
    </row>
    <row r="220" spans="1:8" x14ac:dyDescent="0.25">
      <c r="B220" s="4"/>
      <c r="C220" s="389">
        <f>D220</f>
        <v>4.4999999999999997E-3</v>
      </c>
      <c r="D220" s="389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0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1">
        <f>FV(C220,C221,C223,C222,C225)</f>
        <v>128528.12587348794</v>
      </c>
      <c r="D224" s="380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328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389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2" t="s">
        <v>390</v>
      </c>
      <c r="B229" s="363"/>
      <c r="C229" s="363"/>
      <c r="D229" s="363"/>
      <c r="E229" s="365" t="s">
        <v>384</v>
      </c>
      <c r="F229" s="363"/>
      <c r="G229" s="364"/>
      <c r="H229" s="364"/>
    </row>
    <row r="230" spans="1:8" x14ac:dyDescent="0.25">
      <c r="A230" s="1" t="s">
        <v>391</v>
      </c>
      <c r="B230" s="4"/>
      <c r="C230" s="4"/>
      <c r="D230" s="4"/>
      <c r="E230" s="4"/>
      <c r="F230" s="4"/>
    </row>
    <row r="231" spans="1:8" x14ac:dyDescent="0.25">
      <c r="A231" s="1" t="s">
        <v>392</v>
      </c>
      <c r="B231" s="4"/>
      <c r="C231" s="4"/>
      <c r="D231" s="4"/>
      <c r="E231" s="4"/>
      <c r="F231" s="4"/>
    </row>
    <row r="232" spans="1:8" x14ac:dyDescent="0.25">
      <c r="A232" s="1" t="s">
        <v>393</v>
      </c>
      <c r="B232" s="4"/>
      <c r="C232" s="4"/>
      <c r="D232" s="4"/>
      <c r="E232" s="4"/>
      <c r="F232" s="4"/>
    </row>
    <row r="233" spans="1:8" x14ac:dyDescent="0.25">
      <c r="A233" s="1" t="s">
        <v>394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388</v>
      </c>
      <c r="E236" s="4"/>
      <c r="F236" s="4"/>
    </row>
    <row r="237" spans="1:8" x14ac:dyDescent="0.25">
      <c r="B237" s="4"/>
      <c r="C237" s="4"/>
      <c r="D237" s="389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1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0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328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2" t="s">
        <v>395</v>
      </c>
      <c r="B245" s="363"/>
      <c r="C245" s="363"/>
      <c r="D245" s="363"/>
      <c r="E245" s="365" t="s">
        <v>384</v>
      </c>
      <c r="F245" s="363"/>
      <c r="G245" s="364"/>
      <c r="H245" s="364"/>
    </row>
    <row r="246" spans="1:8" x14ac:dyDescent="0.25">
      <c r="A246" s="1" t="s">
        <v>396</v>
      </c>
      <c r="B246" s="4"/>
      <c r="C246" s="4"/>
      <c r="D246" s="4"/>
      <c r="E246" s="4"/>
      <c r="F246" s="4"/>
    </row>
    <row r="247" spans="1:8" x14ac:dyDescent="0.25">
      <c r="A247" s="1" t="s">
        <v>397</v>
      </c>
      <c r="B247" s="4"/>
      <c r="C247" s="4"/>
      <c r="D247" s="4"/>
      <c r="E247" s="4"/>
      <c r="F247" s="4"/>
    </row>
    <row r="248" spans="1:8" x14ac:dyDescent="0.25">
      <c r="A248" s="1" t="s">
        <v>398</v>
      </c>
      <c r="B248" s="4"/>
      <c r="C248" s="4"/>
      <c r="D248" s="4"/>
      <c r="E248" s="4"/>
      <c r="F248" s="4"/>
    </row>
    <row r="249" spans="1:8" x14ac:dyDescent="0.25">
      <c r="A249" s="1" t="s">
        <v>399</v>
      </c>
      <c r="B249" s="4"/>
      <c r="C249" s="4"/>
      <c r="D249" s="4"/>
      <c r="E249" s="4"/>
      <c r="F249" s="4"/>
    </row>
    <row r="250" spans="1:8" x14ac:dyDescent="0.25">
      <c r="A250" s="1" t="s">
        <v>400</v>
      </c>
      <c r="B250" s="4"/>
      <c r="C250" s="4"/>
      <c r="D250" s="4"/>
      <c r="E250" s="4"/>
      <c r="F250" s="4"/>
    </row>
    <row r="251" spans="1:8" x14ac:dyDescent="0.25">
      <c r="A251" s="1" t="s">
        <v>401</v>
      </c>
      <c r="B251" s="4"/>
      <c r="C251" s="4"/>
      <c r="D251" s="4"/>
      <c r="E251" s="4"/>
      <c r="F251" s="4"/>
    </row>
    <row r="252" spans="1:8" x14ac:dyDescent="0.25">
      <c r="A252" s="1" t="s">
        <v>402</v>
      </c>
      <c r="B252" s="4"/>
      <c r="C252" s="4"/>
      <c r="D252" s="4"/>
      <c r="E252" s="4"/>
      <c r="F252" s="4"/>
    </row>
    <row r="253" spans="1:8" x14ac:dyDescent="0.25">
      <c r="A253" s="1" t="s">
        <v>403</v>
      </c>
      <c r="B253" s="4"/>
      <c r="C253" s="4"/>
      <c r="D253" s="4"/>
      <c r="E253" s="4"/>
      <c r="F253" s="4"/>
    </row>
    <row r="254" spans="1:8" x14ac:dyDescent="0.25">
      <c r="A254" s="1" t="s">
        <v>404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405</v>
      </c>
      <c r="F256" s="4"/>
    </row>
    <row r="257" spans="1:8" x14ac:dyDescent="0.25">
      <c r="B257" s="4"/>
      <c r="C257" s="4"/>
      <c r="D257" s="389"/>
      <c r="E257" s="389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0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1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328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406</v>
      </c>
      <c r="B264" s="4"/>
      <c r="C264" s="380">
        <f>500000-E261</f>
        <v>26611.530423021992</v>
      </c>
      <c r="D264" s="7" t="s">
        <v>407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2" t="s">
        <v>408</v>
      </c>
      <c r="B271" s="363"/>
      <c r="C271" s="363"/>
      <c r="D271" s="363"/>
      <c r="E271" s="365" t="s">
        <v>384</v>
      </c>
      <c r="F271" s="363"/>
      <c r="G271" s="364"/>
      <c r="H271" s="364"/>
    </row>
    <row r="272" spans="1:8" x14ac:dyDescent="0.25">
      <c r="A272" s="1" t="s">
        <v>409</v>
      </c>
      <c r="B272" s="4"/>
      <c r="C272" s="4"/>
      <c r="D272" s="4"/>
      <c r="E272" s="4"/>
      <c r="F272" s="4"/>
    </row>
    <row r="273" spans="1:8" x14ac:dyDescent="0.25">
      <c r="A273" s="1" t="s">
        <v>410</v>
      </c>
      <c r="B273" s="4"/>
      <c r="C273" s="4"/>
      <c r="D273" s="4"/>
      <c r="E273" s="4"/>
      <c r="F273" s="4"/>
    </row>
    <row r="274" spans="1:8" x14ac:dyDescent="0.25">
      <c r="A274" s="1" t="s">
        <v>411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412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413</v>
      </c>
      <c r="F278" s="4"/>
    </row>
    <row r="279" spans="1:8" x14ac:dyDescent="0.25">
      <c r="B279" s="4"/>
      <c r="C279" s="4"/>
      <c r="D279" s="4"/>
      <c r="E279" s="428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0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414</v>
      </c>
      <c r="B285" s="4"/>
      <c r="C285" s="4"/>
      <c r="D285" s="4" t="s">
        <v>415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0" t="s">
        <v>416</v>
      </c>
      <c r="B288" s="429"/>
      <c r="C288" s="429"/>
      <c r="D288" s="429"/>
      <c r="E288" s="429"/>
      <c r="F288" s="429"/>
      <c r="G288" s="430"/>
      <c r="H288" s="431"/>
    </row>
    <row r="289" spans="1:8" x14ac:dyDescent="0.25">
      <c r="A289" s="401" t="s">
        <v>417</v>
      </c>
      <c r="B289" s="432"/>
      <c r="C289" s="432"/>
      <c r="D289" s="432"/>
      <c r="E289" s="432"/>
      <c r="F289" s="432"/>
      <c r="G289" s="371"/>
      <c r="H289" s="433"/>
    </row>
    <row r="290" spans="1:8" x14ac:dyDescent="0.25">
      <c r="A290" s="401" t="s">
        <v>418</v>
      </c>
      <c r="B290" s="432"/>
      <c r="C290" s="432"/>
      <c r="D290" s="432"/>
      <c r="E290" s="432"/>
      <c r="F290" s="432"/>
      <c r="G290" s="371"/>
      <c r="H290" s="433"/>
    </row>
    <row r="291" spans="1:8" x14ac:dyDescent="0.25">
      <c r="A291" s="401" t="s">
        <v>419</v>
      </c>
      <c r="B291" s="432"/>
      <c r="C291" s="432"/>
      <c r="D291" s="432"/>
      <c r="E291" s="432"/>
      <c r="F291" s="432"/>
      <c r="G291" s="371"/>
      <c r="H291" s="433"/>
    </row>
    <row r="292" spans="1:8" ht="22" thickBot="1" x14ac:dyDescent="0.3">
      <c r="A292" s="402" t="s">
        <v>420</v>
      </c>
      <c r="B292" s="434"/>
      <c r="C292" s="434"/>
      <c r="D292" s="434"/>
      <c r="E292" s="434"/>
      <c r="F292" s="434"/>
      <c r="G292" s="435"/>
      <c r="H292" s="436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717" t="s">
        <v>421</v>
      </c>
      <c r="B300" s="717"/>
      <c r="C300" s="717"/>
      <c r="D300" s="717"/>
      <c r="E300" s="717"/>
      <c r="F300" s="717"/>
      <c r="G300" s="717"/>
      <c r="H300" s="717"/>
    </row>
    <row r="302" spans="1:8" x14ac:dyDescent="0.25">
      <c r="A302" s="2" t="s">
        <v>422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423</v>
      </c>
    </row>
    <row r="304" spans="1:8" x14ac:dyDescent="0.25">
      <c r="A304" s="1" t="s">
        <v>424</v>
      </c>
    </row>
    <row r="305" spans="1:8" x14ac:dyDescent="0.25">
      <c r="A305" s="1" t="s">
        <v>425</v>
      </c>
    </row>
    <row r="306" spans="1:8" x14ac:dyDescent="0.25">
      <c r="A306" s="1" t="s">
        <v>426</v>
      </c>
    </row>
    <row r="307" spans="1:8" x14ac:dyDescent="0.25">
      <c r="A307" s="1" t="s">
        <v>427</v>
      </c>
    </row>
    <row r="312" spans="1:8" x14ac:dyDescent="0.25">
      <c r="A312" s="2" t="s">
        <v>428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429</v>
      </c>
    </row>
    <row r="315" spans="1:8" x14ac:dyDescent="0.25">
      <c r="A315" s="1">
        <v>1000</v>
      </c>
      <c r="B315" s="4" t="s">
        <v>34</v>
      </c>
      <c r="C315" s="1" t="s">
        <v>430</v>
      </c>
    </row>
    <row r="316" spans="1:8" x14ac:dyDescent="0.25">
      <c r="A316" s="5">
        <v>0.15</v>
      </c>
      <c r="B316" s="4" t="s">
        <v>67</v>
      </c>
      <c r="C316" s="1" t="s">
        <v>431</v>
      </c>
    </row>
    <row r="317" spans="1:8" x14ac:dyDescent="0.25">
      <c r="A317" s="1">
        <v>3</v>
      </c>
      <c r="B317" s="4" t="s">
        <v>69</v>
      </c>
      <c r="C317" s="1" t="s">
        <v>432</v>
      </c>
    </row>
    <row r="319" spans="1:8" x14ac:dyDescent="0.25">
      <c r="A319" s="3" t="s">
        <v>433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434</v>
      </c>
    </row>
    <row r="320" spans="1:8" x14ac:dyDescent="0.25">
      <c r="A320" s="3" t="s">
        <v>435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436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437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438</v>
      </c>
    </row>
    <row r="327" spans="1:9" x14ac:dyDescent="0.25">
      <c r="A327" s="1" t="s">
        <v>439</v>
      </c>
    </row>
    <row r="328" spans="1:9" x14ac:dyDescent="0.25">
      <c r="A328" s="1" t="s">
        <v>440</v>
      </c>
    </row>
    <row r="329" spans="1:9" x14ac:dyDescent="0.25">
      <c r="A329" s="1" t="s">
        <v>441</v>
      </c>
    </row>
    <row r="330" spans="1:9" x14ac:dyDescent="0.25">
      <c r="A330" s="1" t="s">
        <v>442</v>
      </c>
    </row>
    <row r="331" spans="1:9" x14ac:dyDescent="0.25">
      <c r="A331" s="1" t="s">
        <v>443</v>
      </c>
    </row>
    <row r="333" spans="1:9" x14ac:dyDescent="0.25">
      <c r="A333" s="1" t="s">
        <v>444</v>
      </c>
    </row>
    <row r="334" spans="1:9" x14ac:dyDescent="0.25">
      <c r="A334" s="1" t="s">
        <v>445</v>
      </c>
    </row>
    <row r="338" spans="1:8" x14ac:dyDescent="0.25">
      <c r="A338" s="2" t="s">
        <v>446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429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447</v>
      </c>
      <c r="C342" s="13" t="s">
        <v>448</v>
      </c>
    </row>
    <row r="343" spans="1:8" x14ac:dyDescent="0.25">
      <c r="A343" s="1" t="s">
        <v>449</v>
      </c>
      <c r="B343" s="14">
        <v>0.01</v>
      </c>
      <c r="C343" s="4">
        <v>8</v>
      </c>
    </row>
    <row r="344" spans="1:8" x14ac:dyDescent="0.25">
      <c r="A344" s="1" t="s">
        <v>450</v>
      </c>
      <c r="B344" s="15">
        <v>1.4999999999999999E-2</v>
      </c>
      <c r="C344" s="4">
        <v>4</v>
      </c>
    </row>
    <row r="345" spans="1:8" x14ac:dyDescent="0.25">
      <c r="A345" s="1" t="s">
        <v>451</v>
      </c>
      <c r="B345" s="14">
        <v>0.02</v>
      </c>
      <c r="C345" s="4">
        <v>4</v>
      </c>
    </row>
    <row r="347" spans="1:8" x14ac:dyDescent="0.25">
      <c r="A347" s="1" t="s">
        <v>452</v>
      </c>
      <c r="H347" s="1" t="s">
        <v>453</v>
      </c>
    </row>
    <row r="349" spans="1:8" x14ac:dyDescent="0.25">
      <c r="A349" s="3" t="s">
        <v>454</v>
      </c>
      <c r="B349" s="16"/>
      <c r="C349" s="17">
        <f>200000*(1+1%)^8*(1+1.5%)^4*(1+2%)^4</f>
        <v>248808.86034078262</v>
      </c>
      <c r="D349" s="7" t="s">
        <v>455</v>
      </c>
      <c r="H349" s="1" t="str">
        <f ca="1">_xlfn.FORMULATEXT(C349)</f>
        <v>=200000*(1+1%)^8*(1+1.5%)^4*(1+2%)^4</v>
      </c>
    </row>
    <row r="351" spans="1:8" x14ac:dyDescent="0.25">
      <c r="A351" s="3" t="s">
        <v>456</v>
      </c>
      <c r="C351" s="1" t="s">
        <v>457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458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459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460</v>
      </c>
      <c r="B355" s="7"/>
    </row>
    <row r="356" spans="1:8" x14ac:dyDescent="0.25">
      <c r="A356" s="1" t="s">
        <v>461</v>
      </c>
      <c r="B356" s="7"/>
    </row>
    <row r="357" spans="1:8" x14ac:dyDescent="0.25">
      <c r="A357" s="1" t="s">
        <v>462</v>
      </c>
      <c r="B357" s="7"/>
    </row>
    <row r="358" spans="1:8" x14ac:dyDescent="0.25">
      <c r="A358" s="1" t="s">
        <v>463</v>
      </c>
      <c r="B358" s="7"/>
    </row>
    <row r="359" spans="1:8" x14ac:dyDescent="0.25">
      <c r="A359" s="1" t="s">
        <v>464</v>
      </c>
      <c r="B359" s="7"/>
    </row>
    <row r="360" spans="1:8" x14ac:dyDescent="0.25">
      <c r="A360" s="1" t="s">
        <v>465</v>
      </c>
      <c r="B360" s="7"/>
    </row>
    <row r="361" spans="1:8" x14ac:dyDescent="0.25">
      <c r="B361" s="7"/>
    </row>
    <row r="362" spans="1:8" x14ac:dyDescent="0.25">
      <c r="A362" s="2" t="s">
        <v>466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467</v>
      </c>
      <c r="B363" s="7"/>
    </row>
    <row r="364" spans="1:8" x14ac:dyDescent="0.25">
      <c r="A364" s="1" t="s">
        <v>468</v>
      </c>
      <c r="B364" s="7"/>
    </row>
    <row r="365" spans="1:8" x14ac:dyDescent="0.25">
      <c r="A365" s="1" t="s">
        <v>469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470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471</v>
      </c>
    </row>
    <row r="372" spans="1:6" x14ac:dyDescent="0.25">
      <c r="B372" s="1" t="s">
        <v>472</v>
      </c>
      <c r="E372" s="4" t="s">
        <v>87</v>
      </c>
    </row>
    <row r="373" spans="1:6" x14ac:dyDescent="0.25">
      <c r="B373" s="1" t="s">
        <v>473</v>
      </c>
      <c r="E373" s="4" t="s">
        <v>89</v>
      </c>
    </row>
    <row r="375" spans="1:6" x14ac:dyDescent="0.25">
      <c r="A375" s="3" t="s">
        <v>429</v>
      </c>
      <c r="B375" s="7"/>
    </row>
    <row r="376" spans="1:6" x14ac:dyDescent="0.25">
      <c r="A376" s="12">
        <v>20000</v>
      </c>
      <c r="B376" s="4" t="s">
        <v>34</v>
      </c>
      <c r="C376" s="1" t="s">
        <v>474</v>
      </c>
    </row>
    <row r="377" spans="1:6" x14ac:dyDescent="0.25">
      <c r="A377" s="1">
        <v>3</v>
      </c>
      <c r="B377" s="4" t="s">
        <v>69</v>
      </c>
      <c r="C377" s="1" t="s">
        <v>432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6">
        <f>RATE(A377,0,-A376,A378)</f>
        <v>6.9987480565494378E-2</v>
      </c>
      <c r="C380" s="7" t="s">
        <v>475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476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477</v>
      </c>
    </row>
    <row r="387" spans="1:8" x14ac:dyDescent="0.25">
      <c r="A387" s="21" t="s">
        <v>478</v>
      </c>
      <c r="B387" s="7"/>
    </row>
    <row r="388" spans="1:8" x14ac:dyDescent="0.25">
      <c r="A388" s="21" t="s">
        <v>479</v>
      </c>
      <c r="B388" s="7"/>
    </row>
    <row r="389" spans="1:8" x14ac:dyDescent="0.25">
      <c r="A389" s="22" t="s">
        <v>480</v>
      </c>
      <c r="B389" s="7"/>
    </row>
    <row r="390" spans="1:8" x14ac:dyDescent="0.25">
      <c r="A390" s="21"/>
      <c r="B390" s="7"/>
    </row>
    <row r="391" spans="1:8" x14ac:dyDescent="0.25">
      <c r="A391" s="2" t="s">
        <v>481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429</v>
      </c>
      <c r="B393" s="7"/>
    </row>
    <row r="394" spans="1:8" x14ac:dyDescent="0.25">
      <c r="A394" s="24">
        <v>50000</v>
      </c>
      <c r="B394" s="4" t="s">
        <v>34</v>
      </c>
      <c r="C394" s="1" t="s">
        <v>474</v>
      </c>
    </row>
    <row r="395" spans="1:8" x14ac:dyDescent="0.25">
      <c r="A395" s="22">
        <v>3.3500000000000002E-2</v>
      </c>
      <c r="B395" s="4" t="s">
        <v>67</v>
      </c>
      <c r="C395" s="1" t="s">
        <v>482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483</v>
      </c>
      <c r="B398" s="367">
        <f>NPER(A395,0,-A394,A396)</f>
        <v>42.071261816544059</v>
      </c>
      <c r="C398" s="7" t="s">
        <v>484</v>
      </c>
      <c r="F398" s="1" t="str">
        <f ca="1">_xlfn.FORMULATEXT(B398)</f>
        <v>=NPER(A395,0,-A394,A396)</v>
      </c>
    </row>
    <row r="399" spans="1:8" x14ac:dyDescent="0.25">
      <c r="A399" s="23" t="s">
        <v>485</v>
      </c>
      <c r="B399" s="368">
        <f>B398/12</f>
        <v>3.5059384847120048</v>
      </c>
      <c r="C399" s="7" t="s">
        <v>484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486</v>
      </c>
      <c r="B401" s="7"/>
    </row>
    <row r="402" spans="1:8" x14ac:dyDescent="0.25">
      <c r="A402" s="7" t="s">
        <v>487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488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489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490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491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492</v>
      </c>
      <c r="H408" s="37"/>
    </row>
    <row r="409" spans="1:8" x14ac:dyDescent="0.25">
      <c r="A409" s="21" t="s">
        <v>493</v>
      </c>
      <c r="H409" s="37"/>
    </row>
    <row r="410" spans="1:8" x14ac:dyDescent="0.25">
      <c r="A410" s="21"/>
      <c r="H410" s="37"/>
    </row>
    <row r="411" spans="1:8" x14ac:dyDescent="0.25">
      <c r="A411" s="35" t="s">
        <v>494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429</v>
      </c>
    </row>
    <row r="414" spans="1:8" x14ac:dyDescent="0.25">
      <c r="A414" s="12">
        <v>2000</v>
      </c>
      <c r="B414" s="4" t="s">
        <v>34</v>
      </c>
      <c r="C414" s="1" t="s">
        <v>474</v>
      </c>
    </row>
    <row r="415" spans="1:8" x14ac:dyDescent="0.25">
      <c r="A415" s="1">
        <v>15</v>
      </c>
      <c r="B415" s="4" t="s">
        <v>69</v>
      </c>
      <c r="C415" s="1" t="s">
        <v>495</v>
      </c>
    </row>
    <row r="416" spans="1:8" x14ac:dyDescent="0.25">
      <c r="A416" s="5">
        <v>0.05</v>
      </c>
      <c r="B416" s="4" t="s">
        <v>67</v>
      </c>
      <c r="C416" s="1" t="s">
        <v>431</v>
      </c>
    </row>
    <row r="417" spans="1:8" x14ac:dyDescent="0.25">
      <c r="C417" s="38">
        <f>FV(A416,A415,0,-A414)</f>
        <v>4157.8563588227362</v>
      </c>
      <c r="D417" s="7" t="s">
        <v>455</v>
      </c>
      <c r="H417" s="1" t="str">
        <f ca="1">_xlfn.FORMULATEXT(C417)</f>
        <v>=FV(A416,A415,0,-A414)</v>
      </c>
    </row>
    <row r="420" spans="1:8" x14ac:dyDescent="0.25">
      <c r="A420" s="35" t="s">
        <v>496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497</v>
      </c>
    </row>
    <row r="422" spans="1:8" x14ac:dyDescent="0.25">
      <c r="A422" s="1" t="s">
        <v>498</v>
      </c>
    </row>
    <row r="423" spans="1:8" x14ac:dyDescent="0.25">
      <c r="A423" s="1" t="s">
        <v>499</v>
      </c>
    </row>
    <row r="425" spans="1:8" x14ac:dyDescent="0.25">
      <c r="A425" s="35" t="s">
        <v>500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429</v>
      </c>
    </row>
    <row r="428" spans="1:8" x14ac:dyDescent="0.25">
      <c r="A428" s="12">
        <v>45000</v>
      </c>
      <c r="B428" s="4" t="s">
        <v>34</v>
      </c>
      <c r="C428" s="1" t="s">
        <v>474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495</v>
      </c>
    </row>
    <row r="431" spans="1:8" x14ac:dyDescent="0.25">
      <c r="C431" s="42">
        <f>RATE(A430,0,A428,-A429)</f>
        <v>7.9951766443501465E-2</v>
      </c>
      <c r="D431" s="7" t="s">
        <v>475</v>
      </c>
      <c r="H431" s="1" t="str">
        <f ca="1">_xlfn.FORMULATEXT(C431)</f>
        <v>=RATE(A430,0,A428,-A429)</v>
      </c>
    </row>
    <row r="434" spans="1:8" x14ac:dyDescent="0.25">
      <c r="A434" s="2" t="s">
        <v>501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502</v>
      </c>
    </row>
    <row r="436" spans="1:8" x14ac:dyDescent="0.25">
      <c r="A436" s="1" t="s">
        <v>503</v>
      </c>
    </row>
    <row r="437" spans="1:8" x14ac:dyDescent="0.25">
      <c r="A437" s="1" t="s">
        <v>504</v>
      </c>
    </row>
    <row r="438" spans="1:8" x14ac:dyDescent="0.25">
      <c r="A438" s="1" t="s">
        <v>505</v>
      </c>
    </row>
    <row r="439" spans="1:8" x14ac:dyDescent="0.25">
      <c r="A439" s="1" t="s">
        <v>506</v>
      </c>
    </row>
    <row r="441" spans="1:8" x14ac:dyDescent="0.25">
      <c r="A441" s="369" t="s">
        <v>507</v>
      </c>
      <c r="B441" s="369"/>
      <c r="C441" s="369"/>
      <c r="D441" s="369"/>
      <c r="E441" s="369"/>
      <c r="F441" s="369"/>
      <c r="G441" s="369"/>
      <c r="H441" s="369"/>
    </row>
    <row r="443" spans="1:8" x14ac:dyDescent="0.25">
      <c r="A443" s="1" t="s">
        <v>508</v>
      </c>
    </row>
    <row r="444" spans="1:8" x14ac:dyDescent="0.25">
      <c r="A444" s="1" t="s">
        <v>509</v>
      </c>
    </row>
    <row r="445" spans="1:8" x14ac:dyDescent="0.25">
      <c r="A445" s="1" t="s">
        <v>510</v>
      </c>
    </row>
    <row r="446" spans="1:8" x14ac:dyDescent="0.25">
      <c r="A446" s="1" t="s">
        <v>511</v>
      </c>
    </row>
    <row r="447" spans="1:8" x14ac:dyDescent="0.25">
      <c r="A447" s="1" t="s">
        <v>512</v>
      </c>
    </row>
    <row r="449" spans="1:10" x14ac:dyDescent="0.25">
      <c r="A449" s="3" t="s">
        <v>429</v>
      </c>
    </row>
    <row r="450" spans="1:10" x14ac:dyDescent="0.25">
      <c r="A450" s="1" t="s">
        <v>513</v>
      </c>
      <c r="B450" s="12">
        <v>10000</v>
      </c>
      <c r="C450" s="7"/>
      <c r="D450" s="39" t="s">
        <v>514</v>
      </c>
    </row>
    <row r="451" spans="1:10" x14ac:dyDescent="0.25">
      <c r="A451" s="1" t="s">
        <v>515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516</v>
      </c>
      <c r="B452" s="40">
        <v>5.0000000000000001E-3</v>
      </c>
      <c r="C452" s="718">
        <f>FV(B452,D451,0,-B450)</f>
        <v>10616.778118644976</v>
      </c>
      <c r="D452" s="718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517</v>
      </c>
      <c r="B453" s="40">
        <v>4.0000000000000001E-3</v>
      </c>
      <c r="C453" s="7"/>
    </row>
    <row r="454" spans="1:10" x14ac:dyDescent="0.25">
      <c r="C454" s="39"/>
      <c r="D454" s="39" t="s">
        <v>518</v>
      </c>
    </row>
    <row r="455" spans="1:10" x14ac:dyDescent="0.25">
      <c r="C455" s="26"/>
      <c r="D455" s="26">
        <v>3</v>
      </c>
      <c r="E455" s="26" t="s">
        <v>69</v>
      </c>
      <c r="G455" s="1" t="s">
        <v>519</v>
      </c>
    </row>
    <row r="456" spans="1:10" x14ac:dyDescent="0.25">
      <c r="C456" s="712">
        <f>C452+B451</f>
        <v>12616.778118644976</v>
      </c>
      <c r="D456" s="712"/>
      <c r="E456" s="1" t="s">
        <v>281</v>
      </c>
      <c r="G456" s="1" t="s">
        <v>520</v>
      </c>
    </row>
    <row r="457" spans="1:10" x14ac:dyDescent="0.25">
      <c r="C457" s="718">
        <f>FV(B452,D455,0,-C456)</f>
        <v>12806.977625880809</v>
      </c>
      <c r="D457" s="718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521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522</v>
      </c>
    </row>
    <row r="461" spans="1:10" x14ac:dyDescent="0.25">
      <c r="C461" s="712">
        <f>C457</f>
        <v>12806.977625880809</v>
      </c>
      <c r="D461" s="712"/>
      <c r="E461" s="1" t="s">
        <v>281</v>
      </c>
      <c r="G461" s="1" t="s">
        <v>523</v>
      </c>
    </row>
    <row r="462" spans="1:10" x14ac:dyDescent="0.25">
      <c r="C462" s="713">
        <f>FV(B453,D460,0,-C461)</f>
        <v>13275.474904595436</v>
      </c>
      <c r="D462" s="714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37" t="s">
        <v>524</v>
      </c>
      <c r="B464" s="438"/>
      <c r="C464" s="438"/>
      <c r="D464" s="438"/>
      <c r="E464" s="438"/>
      <c r="F464" s="438"/>
      <c r="G464" s="438"/>
      <c r="H464" s="438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525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526</v>
      </c>
    </row>
    <row r="468" spans="1:8" s="43" customFormat="1" ht="15" x14ac:dyDescent="0.2">
      <c r="A468" s="43" t="s">
        <v>527</v>
      </c>
    </row>
    <row r="469" spans="1:8" s="43" customFormat="1" ht="15" x14ac:dyDescent="0.2">
      <c r="A469" s="43" t="s">
        <v>528</v>
      </c>
    </row>
    <row r="470" spans="1:8" s="43" customFormat="1" ht="15" x14ac:dyDescent="0.2">
      <c r="A470" s="43" t="s">
        <v>529</v>
      </c>
    </row>
    <row r="471" spans="1:8" s="43" customFormat="1" ht="15" x14ac:dyDescent="0.2">
      <c r="A471" s="43" t="s">
        <v>530</v>
      </c>
    </row>
    <row r="472" spans="1:8" s="43" customFormat="1" ht="15" x14ac:dyDescent="0.2">
      <c r="A472" s="43" t="s">
        <v>531</v>
      </c>
    </row>
    <row r="473" spans="1:8" s="43" customFormat="1" ht="15" x14ac:dyDescent="0.2"/>
    <row r="474" spans="1:8" s="43" customFormat="1" ht="15" x14ac:dyDescent="0.2">
      <c r="A474" s="52" t="s">
        <v>532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533</v>
      </c>
    </row>
    <row r="477" spans="1:8" s="43" customFormat="1" ht="15" x14ac:dyDescent="0.2">
      <c r="A477" s="43" t="s">
        <v>534</v>
      </c>
    </row>
    <row r="478" spans="1:8" s="43" customFormat="1" ht="15" x14ac:dyDescent="0.2">
      <c r="A478" s="43" t="s">
        <v>535</v>
      </c>
    </row>
    <row r="479" spans="1:8" s="43" customFormat="1" ht="15" x14ac:dyDescent="0.2">
      <c r="A479" s="43" t="s">
        <v>536</v>
      </c>
    </row>
    <row r="480" spans="1:8" s="43" customFormat="1" ht="15" x14ac:dyDescent="0.2"/>
    <row r="481" spans="1:7" s="43" customFormat="1" ht="15" x14ac:dyDescent="0.2">
      <c r="A481" s="43" t="s">
        <v>537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538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539</v>
      </c>
    </row>
    <row r="488" spans="1:7" s="43" customFormat="1" ht="15" x14ac:dyDescent="0.2"/>
    <row r="489" spans="1:7" s="43" customFormat="1" ht="15" x14ac:dyDescent="0.2">
      <c r="A489" s="44" t="s">
        <v>540</v>
      </c>
    </row>
    <row r="490" spans="1:7" s="43" customFormat="1" ht="15" x14ac:dyDescent="0.2">
      <c r="A490" s="54">
        <v>0.05</v>
      </c>
      <c r="B490" s="47" t="s">
        <v>87</v>
      </c>
      <c r="C490" s="43" t="s">
        <v>541</v>
      </c>
    </row>
    <row r="491" spans="1:7" s="43" customFormat="1" ht="15" x14ac:dyDescent="0.2">
      <c r="A491" s="47">
        <v>3</v>
      </c>
      <c r="B491" s="47" t="s">
        <v>89</v>
      </c>
      <c r="C491" s="43" t="s">
        <v>542</v>
      </c>
    </row>
    <row r="492" spans="1:7" s="43" customFormat="1" ht="15" x14ac:dyDescent="0.2">
      <c r="A492" s="47">
        <v>-1000</v>
      </c>
      <c r="B492" s="47" t="s">
        <v>91</v>
      </c>
      <c r="C492" s="43" t="s">
        <v>543</v>
      </c>
    </row>
    <row r="493" spans="1:7" s="43" customFormat="1" ht="15" x14ac:dyDescent="0.2">
      <c r="A493" s="47">
        <v>0</v>
      </c>
      <c r="B493" s="47" t="s">
        <v>93</v>
      </c>
      <c r="C493" s="43" t="s">
        <v>544</v>
      </c>
    </row>
    <row r="494" spans="1:7" s="43" customFormat="1" ht="15" x14ac:dyDescent="0.2">
      <c r="A494" s="47">
        <v>0</v>
      </c>
      <c r="B494" s="47" t="s">
        <v>95</v>
      </c>
      <c r="C494" s="43" t="s">
        <v>545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546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538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547</v>
      </c>
    </row>
    <row r="505" spans="1:7" s="43" customFormat="1" ht="15" x14ac:dyDescent="0.2">
      <c r="A505" s="43" t="s">
        <v>548</v>
      </c>
    </row>
    <row r="506" spans="1:7" s="43" customFormat="1" ht="15" x14ac:dyDescent="0.2">
      <c r="A506" s="43" t="s">
        <v>549</v>
      </c>
      <c r="D506" s="55">
        <f>A496*1.05</f>
        <v>3310.1250000000032</v>
      </c>
      <c r="F506" s="43" t="s">
        <v>550</v>
      </c>
    </row>
    <row r="507" spans="1:7" s="43" customFormat="1" ht="15" x14ac:dyDescent="0.2"/>
    <row r="508" spans="1:7" s="43" customFormat="1" ht="15" x14ac:dyDescent="0.2">
      <c r="A508" s="44" t="s">
        <v>540</v>
      </c>
    </row>
    <row r="509" spans="1:7" s="43" customFormat="1" ht="15" x14ac:dyDescent="0.2">
      <c r="A509" s="54">
        <v>0.05</v>
      </c>
      <c r="B509" s="47" t="s">
        <v>87</v>
      </c>
      <c r="C509" s="43" t="s">
        <v>541</v>
      </c>
    </row>
    <row r="510" spans="1:7" s="43" customFormat="1" ht="15" x14ac:dyDescent="0.2">
      <c r="A510" s="47">
        <v>3</v>
      </c>
      <c r="B510" s="47" t="s">
        <v>89</v>
      </c>
      <c r="C510" s="43" t="s">
        <v>542</v>
      </c>
    </row>
    <row r="511" spans="1:7" s="43" customFormat="1" ht="15" x14ac:dyDescent="0.2">
      <c r="A511" s="47">
        <v>-1000</v>
      </c>
      <c r="B511" s="47" t="s">
        <v>91</v>
      </c>
      <c r="C511" s="43" t="s">
        <v>543</v>
      </c>
    </row>
    <row r="512" spans="1:7" s="43" customFormat="1" ht="15" x14ac:dyDescent="0.2">
      <c r="A512" s="47">
        <v>0</v>
      </c>
      <c r="B512" s="47" t="s">
        <v>93</v>
      </c>
      <c r="C512" s="43" t="s">
        <v>551</v>
      </c>
    </row>
    <row r="513" spans="1:8" s="43" customFormat="1" ht="15" x14ac:dyDescent="0.2">
      <c r="A513" s="47">
        <v>1</v>
      </c>
      <c r="B513" s="47" t="s">
        <v>95</v>
      </c>
      <c r="C513" s="43" t="s">
        <v>545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552</v>
      </c>
    </row>
    <row r="518" spans="1:8" s="43" customFormat="1" ht="15" x14ac:dyDescent="0.2">
      <c r="A518" s="58" t="s">
        <v>553</v>
      </c>
    </row>
    <row r="519" spans="1:8" s="43" customFormat="1" ht="15" x14ac:dyDescent="0.2">
      <c r="A519" s="58" t="s">
        <v>554</v>
      </c>
    </row>
    <row r="520" spans="1:8" s="43" customFormat="1" ht="15" x14ac:dyDescent="0.2">
      <c r="A520" s="57"/>
    </row>
    <row r="521" spans="1:8" s="43" customFormat="1" ht="15" x14ac:dyDescent="0.2">
      <c r="A521" s="58" t="s">
        <v>555</v>
      </c>
    </row>
    <row r="522" spans="1:8" s="43" customFormat="1" ht="15" x14ac:dyDescent="0.2">
      <c r="A522" s="58" t="s">
        <v>556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557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558</v>
      </c>
    </row>
    <row r="527" spans="1:8" s="43" customFormat="1" ht="15" x14ac:dyDescent="0.2">
      <c r="A527" s="43" t="s">
        <v>559</v>
      </c>
    </row>
    <row r="528" spans="1:8" s="43" customFormat="1" ht="15" x14ac:dyDescent="0.2">
      <c r="A528" s="43" t="s">
        <v>560</v>
      </c>
    </row>
    <row r="529" spans="1:7" s="43" customFormat="1" ht="15" x14ac:dyDescent="0.2">
      <c r="A529" s="43" t="s">
        <v>561</v>
      </c>
    </row>
    <row r="530" spans="1:7" s="43" customFormat="1" ht="15" x14ac:dyDescent="0.2"/>
    <row r="531" spans="1:7" s="43" customFormat="1" ht="15" x14ac:dyDescent="0.2">
      <c r="A531" s="43" t="s">
        <v>562</v>
      </c>
    </row>
    <row r="532" spans="1:7" s="43" customFormat="1" ht="15" x14ac:dyDescent="0.2">
      <c r="A532" s="43" t="s">
        <v>563</v>
      </c>
    </row>
    <row r="533" spans="1:7" s="43" customFormat="1" ht="15" x14ac:dyDescent="0.2"/>
    <row r="534" spans="1:7" s="43" customFormat="1" ht="15" x14ac:dyDescent="0.2">
      <c r="A534" s="49" t="s">
        <v>564</v>
      </c>
      <c r="B534" s="49" t="s">
        <v>115</v>
      </c>
      <c r="C534" s="49" t="s">
        <v>565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566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566</v>
      </c>
      <c r="B538" s="48">
        <f t="shared" si="0"/>
        <v>8500</v>
      </c>
      <c r="C538" s="47">
        <v>0</v>
      </c>
      <c r="D538" s="43" t="s">
        <v>93</v>
      </c>
      <c r="F538" s="43" t="s">
        <v>567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566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566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568</v>
      </c>
    </row>
    <row r="545" spans="1:8" s="43" customFormat="1" ht="15" x14ac:dyDescent="0.2"/>
    <row r="546" spans="1:8" s="43" customFormat="1" ht="15" x14ac:dyDescent="0.2">
      <c r="A546" s="43" t="s">
        <v>569</v>
      </c>
    </row>
    <row r="547" spans="1:8" s="43" customFormat="1" ht="15" x14ac:dyDescent="0.2">
      <c r="A547" s="43" t="s">
        <v>570</v>
      </c>
    </row>
    <row r="548" spans="1:8" s="43" customFormat="1" ht="15" x14ac:dyDescent="0.2">
      <c r="A548" s="43" t="s">
        <v>571</v>
      </c>
    </row>
    <row r="549" spans="1:8" s="43" customFormat="1" ht="15" x14ac:dyDescent="0.2"/>
    <row r="550" spans="1:8" s="43" customFormat="1" ht="15" x14ac:dyDescent="0.2">
      <c r="A550" s="45" t="s">
        <v>572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573</v>
      </c>
    </row>
    <row r="552" spans="1:8" s="43" customFormat="1" ht="15" x14ac:dyDescent="0.2">
      <c r="A552" s="43" t="s">
        <v>574</v>
      </c>
    </row>
    <row r="553" spans="1:8" s="43" customFormat="1" ht="15" x14ac:dyDescent="0.2">
      <c r="A553" s="43" t="s">
        <v>575</v>
      </c>
    </row>
    <row r="554" spans="1:8" s="43" customFormat="1" ht="15" x14ac:dyDescent="0.2"/>
    <row r="555" spans="1:8" s="43" customFormat="1" ht="15" x14ac:dyDescent="0.2">
      <c r="A555" s="43" t="s">
        <v>576</v>
      </c>
    </row>
    <row r="556" spans="1:8" s="43" customFormat="1" ht="15" x14ac:dyDescent="0.2">
      <c r="A556" s="43" t="s">
        <v>577</v>
      </c>
    </row>
    <row r="557" spans="1:8" s="43" customFormat="1" ht="15" x14ac:dyDescent="0.2"/>
    <row r="558" spans="1:8" s="43" customFormat="1" ht="15" x14ac:dyDescent="0.2">
      <c r="A558" s="43" t="s">
        <v>564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578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579</v>
      </c>
      <c r="F563" s="47">
        <f>1600*2</f>
        <v>3200</v>
      </c>
      <c r="G563" s="47" t="s">
        <v>580</v>
      </c>
    </row>
    <row r="564" spans="1:7" s="43" customFormat="1" ht="15" x14ac:dyDescent="0.2"/>
    <row r="565" spans="1:7" s="43" customFormat="1" ht="15" x14ac:dyDescent="0.2">
      <c r="A565" s="43" t="s">
        <v>581</v>
      </c>
    </row>
    <row r="566" spans="1:7" s="43" customFormat="1" ht="15" x14ac:dyDescent="0.2">
      <c r="A566" s="43" t="s">
        <v>582</v>
      </c>
    </row>
    <row r="567" spans="1:7" s="43" customFormat="1" ht="15" x14ac:dyDescent="0.2">
      <c r="A567" s="43" t="s">
        <v>583</v>
      </c>
    </row>
    <row r="568" spans="1:7" s="43" customFormat="1" ht="15" x14ac:dyDescent="0.2">
      <c r="A568" s="43" t="s">
        <v>584</v>
      </c>
      <c r="D568" s="43">
        <v>5</v>
      </c>
      <c r="E568" s="43" t="s">
        <v>585</v>
      </c>
    </row>
    <row r="569" spans="1:7" s="43" customFormat="1" ht="15" x14ac:dyDescent="0.2"/>
    <row r="570" spans="1:7" s="43" customFormat="1" ht="15" x14ac:dyDescent="0.2">
      <c r="A570" s="43" t="s">
        <v>586</v>
      </c>
    </row>
    <row r="571" spans="1:7" s="43" customFormat="1" ht="15" x14ac:dyDescent="0.2">
      <c r="A571" s="43" t="s">
        <v>587</v>
      </c>
    </row>
    <row r="572" spans="1:7" s="43" customFormat="1" ht="15" x14ac:dyDescent="0.2">
      <c r="A572" s="43" t="s">
        <v>588</v>
      </c>
    </row>
    <row r="573" spans="1:7" s="43" customFormat="1" ht="15" x14ac:dyDescent="0.2">
      <c r="A573" s="43" t="s">
        <v>589</v>
      </c>
    </row>
    <row r="574" spans="1:7" s="43" customFormat="1" ht="15" x14ac:dyDescent="0.2"/>
    <row r="575" spans="1:7" s="43" customFormat="1" ht="15" x14ac:dyDescent="0.2">
      <c r="A575" s="43" t="s">
        <v>590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591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592</v>
      </c>
    </row>
    <row r="580" spans="1:8" s="43" customFormat="1" ht="15" x14ac:dyDescent="0.2">
      <c r="A580" s="43" t="s">
        <v>593</v>
      </c>
    </row>
    <row r="581" spans="1:8" s="43" customFormat="1" ht="15" x14ac:dyDescent="0.2">
      <c r="A581" s="43" t="s">
        <v>594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580</v>
      </c>
    </row>
    <row r="589" spans="1:8" s="43" customFormat="1" ht="15" x14ac:dyDescent="0.2"/>
    <row r="591" spans="1:8" s="43" customFormat="1" ht="15" x14ac:dyDescent="0.2">
      <c r="A591" s="45" t="s">
        <v>595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596</v>
      </c>
    </row>
    <row r="593" spans="1:8" s="43" customFormat="1" ht="15" x14ac:dyDescent="0.2">
      <c r="A593" s="43" t="s">
        <v>597</v>
      </c>
    </row>
    <row r="594" spans="1:8" s="43" customFormat="1" ht="15" x14ac:dyDescent="0.2">
      <c r="A594" s="43" t="s">
        <v>598</v>
      </c>
    </row>
    <row r="595" spans="1:8" s="43" customFormat="1" ht="15" x14ac:dyDescent="0.2">
      <c r="A595" s="43" t="s">
        <v>599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580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600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601</v>
      </c>
    </row>
    <row r="607" spans="1:8" s="43" customFormat="1" ht="15" x14ac:dyDescent="0.2">
      <c r="A607" s="43" t="s">
        <v>602</v>
      </c>
    </row>
    <row r="608" spans="1:8" s="43" customFormat="1" ht="15" x14ac:dyDescent="0.2">
      <c r="A608" s="43" t="s">
        <v>603</v>
      </c>
    </row>
    <row r="609" spans="1:8" s="43" customFormat="1" ht="15" x14ac:dyDescent="0.2">
      <c r="A609" s="43" t="s">
        <v>604</v>
      </c>
    </row>
    <row r="610" spans="1:8" s="43" customFormat="1" ht="15" x14ac:dyDescent="0.2">
      <c r="A610" s="43" t="s">
        <v>605</v>
      </c>
    </row>
    <row r="611" spans="1:8" s="43" customFormat="1" ht="15" x14ac:dyDescent="0.2">
      <c r="A611" s="43" t="s">
        <v>606</v>
      </c>
    </row>
    <row r="612" spans="1:8" s="43" customFormat="1" ht="15" x14ac:dyDescent="0.2"/>
    <row r="613" spans="1:8" s="43" customFormat="1" ht="15" x14ac:dyDescent="0.2">
      <c r="A613" s="43" t="s">
        <v>607</v>
      </c>
    </row>
    <row r="614" spans="1:8" s="43" customFormat="1" ht="15" x14ac:dyDescent="0.2"/>
    <row r="615" spans="1:8" s="43" customFormat="1" ht="15" x14ac:dyDescent="0.2">
      <c r="A615" s="44" t="s">
        <v>608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609</v>
      </c>
    </row>
    <row r="617" spans="1:8" s="43" customFormat="1" ht="15" x14ac:dyDescent="0.2">
      <c r="A617" s="44"/>
    </row>
    <row r="618" spans="1:8" s="43" customFormat="1" ht="15" x14ac:dyDescent="0.2">
      <c r="B618" s="49" t="s">
        <v>610</v>
      </c>
      <c r="C618" s="49" t="s">
        <v>611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580</v>
      </c>
    </row>
    <row r="625" spans="1:8" s="43" customFormat="1" ht="15" x14ac:dyDescent="0.2"/>
    <row r="626" spans="1:8" s="43" customFormat="1" ht="15" x14ac:dyDescent="0.2">
      <c r="A626" s="43" t="s">
        <v>612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613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614</v>
      </c>
    </row>
    <row r="631" spans="1:8" s="43" customFormat="1" ht="15" x14ac:dyDescent="0.2">
      <c r="A631" s="43" t="s">
        <v>615</v>
      </c>
    </row>
    <row r="632" spans="1:8" s="43" customFormat="1" ht="15" x14ac:dyDescent="0.2">
      <c r="A632" s="43" t="s">
        <v>616</v>
      </c>
    </row>
    <row r="633" spans="1:8" s="43" customFormat="1" ht="15" x14ac:dyDescent="0.2">
      <c r="A633" s="43" t="s">
        <v>617</v>
      </c>
    </row>
    <row r="634" spans="1:8" s="43" customFormat="1" ht="15" x14ac:dyDescent="0.2"/>
    <row r="635" spans="1:8" s="43" customFormat="1" ht="15" x14ac:dyDescent="0.2">
      <c r="C635" s="49" t="s">
        <v>611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580</v>
      </c>
    </row>
    <row r="642" spans="1:8" s="43" customFormat="1" ht="15" x14ac:dyDescent="0.2"/>
    <row r="643" spans="1:8" s="43" customFormat="1" ht="15" x14ac:dyDescent="0.2">
      <c r="A643" s="43" t="s">
        <v>618</v>
      </c>
    </row>
    <row r="644" spans="1:8" s="43" customFormat="1" ht="15" x14ac:dyDescent="0.2">
      <c r="A644" s="43" t="s">
        <v>619</v>
      </c>
    </row>
    <row r="645" spans="1:8" s="43" customFormat="1" ht="15" x14ac:dyDescent="0.2">
      <c r="A645" s="43" t="s">
        <v>620</v>
      </c>
    </row>
    <row r="646" spans="1:8" s="43" customFormat="1" ht="15" x14ac:dyDescent="0.2">
      <c r="A646" s="43" t="s">
        <v>621</v>
      </c>
    </row>
    <row r="648" spans="1:8" x14ac:dyDescent="0.25">
      <c r="A648" s="2" t="s">
        <v>622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623</v>
      </c>
    </row>
    <row r="650" spans="1:8" x14ac:dyDescent="0.25">
      <c r="A650" s="1" t="s">
        <v>624</v>
      </c>
    </row>
    <row r="651" spans="1:8" x14ac:dyDescent="0.25">
      <c r="A651" s="1" t="s">
        <v>625</v>
      </c>
    </row>
    <row r="652" spans="1:8" x14ac:dyDescent="0.25">
      <c r="A652" s="1" t="s">
        <v>626</v>
      </c>
    </row>
    <row r="654" spans="1:8" x14ac:dyDescent="0.25">
      <c r="A654" s="1" t="s">
        <v>627</v>
      </c>
    </row>
    <row r="656" spans="1:8" x14ac:dyDescent="0.25">
      <c r="A656" s="1" t="s">
        <v>628</v>
      </c>
    </row>
    <row r="657" spans="1:5" x14ac:dyDescent="0.25">
      <c r="A657" s="1" t="s">
        <v>629</v>
      </c>
    </row>
    <row r="659" spans="1:5" x14ac:dyDescent="0.25">
      <c r="A659" s="19" t="s">
        <v>111</v>
      </c>
    </row>
    <row r="661" spans="1:5" x14ac:dyDescent="0.25">
      <c r="A661" s="1" t="s">
        <v>630</v>
      </c>
      <c r="C661" s="1" t="s">
        <v>631</v>
      </c>
      <c r="D661" s="1" t="s">
        <v>632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39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39">
        <f>FV(C662,C663,C665,C664,C667)</f>
        <v>-89134.741477994161</v>
      </c>
      <c r="D666" s="439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328</v>
      </c>
    </row>
    <row r="669" spans="1:5" x14ac:dyDescent="0.25">
      <c r="A669" s="1" t="s">
        <v>633</v>
      </c>
    </row>
    <row r="670" spans="1:5" x14ac:dyDescent="0.25">
      <c r="A670" s="1" t="s">
        <v>634</v>
      </c>
    </row>
    <row r="671" spans="1:5" x14ac:dyDescent="0.25">
      <c r="A671" s="1" t="s">
        <v>635</v>
      </c>
    </row>
    <row r="673" spans="1:8" x14ac:dyDescent="0.25">
      <c r="A673" s="1" t="s">
        <v>636</v>
      </c>
      <c r="D673" s="1" t="s">
        <v>637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39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328</v>
      </c>
    </row>
    <row r="681" spans="1:8" x14ac:dyDescent="0.25">
      <c r="A681" s="1" t="s">
        <v>638</v>
      </c>
    </row>
    <row r="682" spans="1:8" x14ac:dyDescent="0.25">
      <c r="A682" s="1" t="s">
        <v>639</v>
      </c>
    </row>
    <row r="683" spans="1:8" x14ac:dyDescent="0.25">
      <c r="A683" s="1" t="s">
        <v>640</v>
      </c>
    </row>
    <row r="685" spans="1:8" x14ac:dyDescent="0.25">
      <c r="A685" s="2" t="s">
        <v>641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642</v>
      </c>
    </row>
    <row r="688" spans="1:8" x14ac:dyDescent="0.25">
      <c r="A688" s="1" t="s">
        <v>643</v>
      </c>
    </row>
    <row r="689" spans="1:1" x14ac:dyDescent="0.25">
      <c r="A689" s="1" t="s">
        <v>644</v>
      </c>
    </row>
    <row r="690" spans="1:1" x14ac:dyDescent="0.25">
      <c r="A690" s="1" t="s">
        <v>645</v>
      </c>
    </row>
    <row r="691" spans="1:1" x14ac:dyDescent="0.25">
      <c r="A691" s="1" t="s">
        <v>646</v>
      </c>
    </row>
    <row r="692" spans="1:1" x14ac:dyDescent="0.25">
      <c r="A692" s="1" t="s">
        <v>647</v>
      </c>
    </row>
    <row r="694" spans="1:1" x14ac:dyDescent="0.25">
      <c r="A694" s="1" t="s">
        <v>648</v>
      </c>
    </row>
    <row r="696" spans="1:1" x14ac:dyDescent="0.25">
      <c r="A696" s="1" t="s">
        <v>649</v>
      </c>
    </row>
    <row r="697" spans="1:1" x14ac:dyDescent="0.25">
      <c r="A697" s="1" t="s">
        <v>650</v>
      </c>
    </row>
    <row r="698" spans="1:1" x14ac:dyDescent="0.25">
      <c r="A698" s="1" t="s">
        <v>651</v>
      </c>
    </row>
    <row r="700" spans="1:1" x14ac:dyDescent="0.25">
      <c r="A700" s="1" t="s">
        <v>652</v>
      </c>
    </row>
    <row r="701" spans="1:1" x14ac:dyDescent="0.25">
      <c r="A701" s="1" t="s">
        <v>653</v>
      </c>
    </row>
    <row r="702" spans="1:1" x14ac:dyDescent="0.25">
      <c r="A702" s="1" t="s">
        <v>654</v>
      </c>
    </row>
    <row r="703" spans="1:1" x14ac:dyDescent="0.25">
      <c r="A703" s="1" t="s">
        <v>655</v>
      </c>
    </row>
    <row r="705" spans="1:6" x14ac:dyDescent="0.25">
      <c r="C705" s="1" t="s">
        <v>656</v>
      </c>
      <c r="D705" s="1" t="s">
        <v>657</v>
      </c>
      <c r="E705" s="1" t="s">
        <v>658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39">
        <f>-D710</f>
        <v>-2458027.1252514864</v>
      </c>
      <c r="D708" s="439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0">
        <f>FV(C706,C707,C709,C708,C711)</f>
        <v>8904788.5576484557</v>
      </c>
      <c r="D710" s="439">
        <f>FV(D706,D707,D709,D708,D711)</f>
        <v>2458027.1252514864</v>
      </c>
      <c r="E710" s="439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328</v>
      </c>
    </row>
    <row r="713" spans="1:6" x14ac:dyDescent="0.25">
      <c r="A713" s="1" t="s">
        <v>659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J283"/>
  <sheetViews>
    <sheetView rightToLeft="1" topLeftCell="A133" zoomScale="160" zoomScaleNormal="250" workbookViewId="0">
      <selection activeCell="F241" sqref="F241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719" t="s">
        <v>3029</v>
      </c>
      <c r="B1" s="719"/>
      <c r="C1" s="719"/>
      <c r="D1" s="719"/>
      <c r="E1" s="719"/>
      <c r="F1" s="719"/>
      <c r="G1" s="719"/>
      <c r="H1" s="719"/>
    </row>
    <row r="3" spans="1:8" x14ac:dyDescent="0.2">
      <c r="A3" s="75" t="s">
        <v>660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661</v>
      </c>
    </row>
    <row r="5" spans="1:8" x14ac:dyDescent="0.2">
      <c r="A5" s="43" t="s">
        <v>662</v>
      </c>
    </row>
    <row r="6" spans="1:8" x14ac:dyDescent="0.2">
      <c r="A6" s="43" t="s">
        <v>663</v>
      </c>
    </row>
    <row r="7" spans="1:8" x14ac:dyDescent="0.2">
      <c r="A7" s="43" t="s">
        <v>664</v>
      </c>
    </row>
    <row r="8" spans="1:8" x14ac:dyDescent="0.2">
      <c r="A8" s="43" t="s">
        <v>665</v>
      </c>
    </row>
    <row r="9" spans="1:8" x14ac:dyDescent="0.2">
      <c r="A9" s="43" t="s">
        <v>666</v>
      </c>
    </row>
    <row r="10" spans="1:8" x14ac:dyDescent="0.2">
      <c r="A10" s="43" t="s">
        <v>667</v>
      </c>
    </row>
    <row r="11" spans="1:8" x14ac:dyDescent="0.2">
      <c r="A11" s="43" t="s">
        <v>668</v>
      </c>
    </row>
    <row r="13" spans="1:8" x14ac:dyDescent="0.2">
      <c r="A13" s="43" t="s">
        <v>669</v>
      </c>
    </row>
    <row r="14" spans="1:8" x14ac:dyDescent="0.2">
      <c r="A14" s="43" t="s">
        <v>670</v>
      </c>
    </row>
    <row r="16" spans="1:8" x14ac:dyDescent="0.2">
      <c r="F16" s="43" t="s">
        <v>671</v>
      </c>
    </row>
    <row r="17" spans="1:8" x14ac:dyDescent="0.2">
      <c r="F17" s="43" t="s">
        <v>672</v>
      </c>
    </row>
    <row r="19" spans="1:8" x14ac:dyDescent="0.2">
      <c r="A19" s="43" t="s">
        <v>673</v>
      </c>
    </row>
    <row r="20" spans="1:8" x14ac:dyDescent="0.2">
      <c r="A20" s="43" t="s">
        <v>674</v>
      </c>
    </row>
    <row r="21" spans="1:8" x14ac:dyDescent="0.2">
      <c r="A21" s="43" t="s">
        <v>675</v>
      </c>
    </row>
    <row r="23" spans="1:8" x14ac:dyDescent="0.2">
      <c r="A23" s="45" t="s">
        <v>676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677</v>
      </c>
    </row>
    <row r="25" spans="1:8" x14ac:dyDescent="0.2">
      <c r="A25" s="43" t="s">
        <v>678</v>
      </c>
    </row>
    <row r="26" spans="1:8" x14ac:dyDescent="0.2">
      <c r="A26" s="43" t="s">
        <v>679</v>
      </c>
    </row>
    <row r="28" spans="1:8" x14ac:dyDescent="0.2">
      <c r="A28" s="43" t="s">
        <v>680</v>
      </c>
    </row>
    <row r="29" spans="1:8" x14ac:dyDescent="0.2">
      <c r="A29" s="43" t="s">
        <v>681</v>
      </c>
      <c r="F29" s="43" t="s">
        <v>682</v>
      </c>
    </row>
    <row r="31" spans="1:8" x14ac:dyDescent="0.2">
      <c r="A31" s="44" t="s">
        <v>683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684</v>
      </c>
    </row>
    <row r="34" spans="1:8" x14ac:dyDescent="0.2">
      <c r="A34" s="44" t="s">
        <v>685</v>
      </c>
    </row>
    <row r="35" spans="1:8" x14ac:dyDescent="0.2">
      <c r="A35" s="43" t="s">
        <v>3033</v>
      </c>
      <c r="C35" s="441">
        <v>0.05</v>
      </c>
      <c r="D35" s="43" t="s">
        <v>87</v>
      </c>
      <c r="F35" s="43" t="s">
        <v>3030</v>
      </c>
    </row>
    <row r="36" spans="1:8" x14ac:dyDescent="0.2">
      <c r="A36" s="43" t="s">
        <v>3034</v>
      </c>
      <c r="C36" s="29">
        <v>2</v>
      </c>
      <c r="D36" s="43" t="s">
        <v>89</v>
      </c>
      <c r="F36" s="43" t="s">
        <v>3031</v>
      </c>
    </row>
    <row r="37" spans="1:8" x14ac:dyDescent="0.2">
      <c r="A37" s="43" t="s">
        <v>3036</v>
      </c>
      <c r="C37" s="29">
        <v>0</v>
      </c>
      <c r="D37" s="43" t="s">
        <v>91</v>
      </c>
      <c r="F37" s="43" t="s">
        <v>3032</v>
      </c>
    </row>
    <row r="38" spans="1:8" x14ac:dyDescent="0.2">
      <c r="A38" s="43" t="s">
        <v>3037</v>
      </c>
      <c r="C38" s="666">
        <f>PV(C35,C36,C37,C39)</f>
        <v>-907.02947845804988</v>
      </c>
      <c r="D38" s="43" t="s">
        <v>686</v>
      </c>
    </row>
    <row r="39" spans="1:8" x14ac:dyDescent="0.2">
      <c r="A39" s="43" t="s">
        <v>3035</v>
      </c>
      <c r="C39" s="29">
        <v>1000</v>
      </c>
      <c r="D39" s="43" t="s">
        <v>105</v>
      </c>
      <c r="F39" s="44" t="s">
        <v>3038</v>
      </c>
    </row>
    <row r="41" spans="1:8" x14ac:dyDescent="0.2">
      <c r="A41" s="45" t="s">
        <v>687</v>
      </c>
      <c r="B41" s="46"/>
      <c r="C41" s="46"/>
      <c r="D41" s="46"/>
      <c r="E41" s="46"/>
      <c r="F41" s="46"/>
      <c r="G41" s="46"/>
      <c r="H41" s="46"/>
    </row>
    <row r="42" spans="1:8" x14ac:dyDescent="0.2">
      <c r="A42" s="43" t="s">
        <v>3039</v>
      </c>
    </row>
    <row r="43" spans="1:8" x14ac:dyDescent="0.2">
      <c r="A43" s="43" t="s">
        <v>688</v>
      </c>
    </row>
    <row r="44" spans="1:8" x14ac:dyDescent="0.2">
      <c r="A44" s="43" t="s">
        <v>689</v>
      </c>
    </row>
    <row r="45" spans="1:8" x14ac:dyDescent="0.2">
      <c r="A45" s="43" t="s">
        <v>690</v>
      </c>
    </row>
    <row r="47" spans="1:8" x14ac:dyDescent="0.2">
      <c r="A47" s="43" t="s">
        <v>321</v>
      </c>
    </row>
    <row r="48" spans="1:8" x14ac:dyDescent="0.2">
      <c r="A48" s="43" t="s">
        <v>691</v>
      </c>
    </row>
    <row r="49" spans="1:8" x14ac:dyDescent="0.2">
      <c r="A49" s="43" t="s">
        <v>692</v>
      </c>
    </row>
    <row r="50" spans="1:8" x14ac:dyDescent="0.2">
      <c r="A50" s="43" t="s">
        <v>693</v>
      </c>
    </row>
    <row r="52" spans="1:8" x14ac:dyDescent="0.2">
      <c r="F52" s="43" t="s">
        <v>694</v>
      </c>
    </row>
    <row r="53" spans="1:8" x14ac:dyDescent="0.2">
      <c r="F53" s="43" t="s">
        <v>695</v>
      </c>
      <c r="G53" s="74">
        <f>4000/1.02^4</f>
        <v>3695.381704106057</v>
      </c>
    </row>
    <row r="54" spans="1:8" x14ac:dyDescent="0.2">
      <c r="F54" s="43" t="s">
        <v>696</v>
      </c>
      <c r="G54" s="43" t="s">
        <v>697</v>
      </c>
    </row>
    <row r="56" spans="1:8" x14ac:dyDescent="0.2">
      <c r="A56" s="79" t="s">
        <v>698</v>
      </c>
    </row>
    <row r="57" spans="1:8" x14ac:dyDescent="0.2">
      <c r="A57" s="44" t="s">
        <v>699</v>
      </c>
      <c r="B57" s="44"/>
      <c r="C57" s="44"/>
      <c r="D57" s="44"/>
      <c r="E57" s="44"/>
      <c r="F57" s="44"/>
      <c r="G57" s="44"/>
      <c r="H57" s="44"/>
    </row>
    <row r="58" spans="1:8" x14ac:dyDescent="0.2">
      <c r="A58" s="44" t="s">
        <v>700</v>
      </c>
      <c r="B58" s="44"/>
      <c r="C58" s="44"/>
      <c r="D58" s="44"/>
      <c r="E58" s="44"/>
      <c r="F58" s="44"/>
      <c r="G58" s="44"/>
      <c r="H58" s="44"/>
    </row>
    <row r="59" spans="1:8" ht="16" thickBot="1" x14ac:dyDescent="0.25"/>
    <row r="60" spans="1:8" x14ac:dyDescent="0.2">
      <c r="A60" s="323" t="s">
        <v>3040</v>
      </c>
      <c r="B60" s="213"/>
      <c r="C60" s="213"/>
      <c r="D60" s="213"/>
      <c r="E60" s="213"/>
      <c r="F60" s="213"/>
      <c r="G60" s="213"/>
      <c r="H60" s="214"/>
    </row>
    <row r="61" spans="1:8" x14ac:dyDescent="0.2">
      <c r="A61" s="322"/>
      <c r="H61" s="216"/>
    </row>
    <row r="62" spans="1:8" x14ac:dyDescent="0.2">
      <c r="A62" s="322"/>
      <c r="E62" s="43" t="s">
        <v>3041</v>
      </c>
      <c r="H62" s="216"/>
    </row>
    <row r="63" spans="1:8" x14ac:dyDescent="0.2">
      <c r="A63" s="322"/>
      <c r="H63" s="216"/>
    </row>
    <row r="64" spans="1:8" ht="16" thickBot="1" x14ac:dyDescent="0.25">
      <c r="A64" s="235" t="s">
        <v>3042</v>
      </c>
      <c r="B64" s="218"/>
      <c r="C64" s="218"/>
      <c r="D64" s="218"/>
      <c r="E64" s="218"/>
      <c r="F64" s="218"/>
      <c r="G64" s="218"/>
      <c r="H64" s="219"/>
    </row>
    <row r="66" spans="1:5" x14ac:dyDescent="0.2">
      <c r="A66" s="43" t="s">
        <v>3043</v>
      </c>
    </row>
    <row r="68" spans="1:5" x14ac:dyDescent="0.2">
      <c r="A68" s="43" t="s">
        <v>3044</v>
      </c>
    </row>
    <row r="70" spans="1:5" x14ac:dyDescent="0.2">
      <c r="B70" s="54">
        <v>0.02</v>
      </c>
      <c r="C70" s="43" t="s">
        <v>87</v>
      </c>
      <c r="D70" s="43" t="s">
        <v>2551</v>
      </c>
    </row>
    <row r="71" spans="1:5" x14ac:dyDescent="0.2">
      <c r="B71" s="47">
        <v>4</v>
      </c>
      <c r="C71" s="43" t="s">
        <v>89</v>
      </c>
      <c r="D71" s="43" t="s">
        <v>3046</v>
      </c>
    </row>
    <row r="72" spans="1:5" x14ac:dyDescent="0.2">
      <c r="B72" s="47">
        <v>0</v>
      </c>
      <c r="C72" s="43" t="s">
        <v>91</v>
      </c>
      <c r="D72" s="43" t="s">
        <v>3047</v>
      </c>
    </row>
    <row r="73" spans="1:5" x14ac:dyDescent="0.2">
      <c r="B73" s="448">
        <f>PV(B70,B71,B72,B74)</f>
        <v>3695.381704106057</v>
      </c>
      <c r="C73" s="43" t="s">
        <v>686</v>
      </c>
    </row>
    <row r="74" spans="1:5" x14ac:dyDescent="0.2">
      <c r="B74" s="47">
        <v>-4000</v>
      </c>
      <c r="C74" s="43" t="s">
        <v>105</v>
      </c>
      <c r="D74" s="43" t="s">
        <v>3045</v>
      </c>
    </row>
    <row r="75" spans="1:5" x14ac:dyDescent="0.2">
      <c r="B75" s="667" t="s">
        <v>3048</v>
      </c>
      <c r="C75" s="43" t="s">
        <v>95</v>
      </c>
      <c r="D75" s="43" t="s">
        <v>3049</v>
      </c>
    </row>
    <row r="77" spans="1:5" x14ac:dyDescent="0.2">
      <c r="A77" s="43" t="s">
        <v>3050</v>
      </c>
      <c r="E77" s="76"/>
    </row>
    <row r="78" spans="1:5" x14ac:dyDescent="0.2">
      <c r="A78" s="43" t="s">
        <v>3051</v>
      </c>
      <c r="E78" s="76"/>
    </row>
    <row r="80" spans="1:5" x14ac:dyDescent="0.2">
      <c r="A80" s="79" t="s">
        <v>3052</v>
      </c>
    </row>
    <row r="81" spans="1:8" x14ac:dyDescent="0.2">
      <c r="A81" s="290" t="s">
        <v>3053</v>
      </c>
    </row>
    <row r="82" spans="1:8" x14ac:dyDescent="0.2">
      <c r="A82" s="290" t="s">
        <v>3054</v>
      </c>
    </row>
    <row r="83" spans="1:8" x14ac:dyDescent="0.2">
      <c r="A83" s="79"/>
    </row>
    <row r="84" spans="1:8" x14ac:dyDescent="0.2">
      <c r="A84" s="79"/>
      <c r="B84" s="43" t="s">
        <v>3055</v>
      </c>
      <c r="F84" s="43">
        <f>4000*0.95</f>
        <v>3800</v>
      </c>
      <c r="H84" s="43" t="s">
        <v>701</v>
      </c>
    </row>
    <row r="85" spans="1:8" x14ac:dyDescent="0.2">
      <c r="A85" s="79"/>
      <c r="B85" s="43" t="s">
        <v>3056</v>
      </c>
      <c r="E85" s="76"/>
      <c r="F85" s="55">
        <f>B73</f>
        <v>3695.381704106057</v>
      </c>
      <c r="G85" s="43" t="s">
        <v>3057</v>
      </c>
    </row>
    <row r="86" spans="1:8" x14ac:dyDescent="0.2">
      <c r="A86" s="79"/>
      <c r="E86" s="76"/>
    </row>
    <row r="87" spans="1:8" x14ac:dyDescent="0.2">
      <c r="B87" s="44" t="s">
        <v>3058</v>
      </c>
    </row>
    <row r="88" spans="1:8" ht="16" thickBot="1" x14ac:dyDescent="0.25"/>
    <row r="89" spans="1:8" x14ac:dyDescent="0.2">
      <c r="A89" s="212" t="s">
        <v>3059</v>
      </c>
      <c r="B89" s="213"/>
      <c r="C89" s="213"/>
      <c r="D89" s="213"/>
      <c r="E89" s="213"/>
      <c r="F89" s="213"/>
      <c r="G89" s="213"/>
      <c r="H89" s="214"/>
    </row>
    <row r="90" spans="1:8" x14ac:dyDescent="0.2">
      <c r="A90" s="322" t="s">
        <v>3060</v>
      </c>
      <c r="H90" s="216"/>
    </row>
    <row r="91" spans="1:8" x14ac:dyDescent="0.2">
      <c r="A91" s="322"/>
      <c r="B91" s="43" t="s">
        <v>3061</v>
      </c>
      <c r="H91" s="216"/>
    </row>
    <row r="92" spans="1:8" x14ac:dyDescent="0.2">
      <c r="A92" s="322"/>
      <c r="B92" s="43" t="s">
        <v>3062</v>
      </c>
      <c r="H92" s="216"/>
    </row>
    <row r="93" spans="1:8" x14ac:dyDescent="0.2">
      <c r="A93" s="322"/>
      <c r="B93" s="43" t="s">
        <v>3063</v>
      </c>
      <c r="H93" s="216"/>
    </row>
    <row r="94" spans="1:8" x14ac:dyDescent="0.2">
      <c r="A94" s="322"/>
      <c r="H94" s="216"/>
    </row>
    <row r="95" spans="1:8" x14ac:dyDescent="0.2">
      <c r="A95" s="322" t="s">
        <v>3065</v>
      </c>
      <c r="B95" s="43" t="s">
        <v>3064</v>
      </c>
      <c r="H95" s="216"/>
    </row>
    <row r="96" spans="1:8" x14ac:dyDescent="0.2">
      <c r="A96" s="322"/>
      <c r="H96" s="216"/>
    </row>
    <row r="97" spans="1:8" x14ac:dyDescent="0.2">
      <c r="A97" s="322" t="s">
        <v>3065</v>
      </c>
      <c r="B97" s="43" t="s">
        <v>3066</v>
      </c>
      <c r="H97" s="216"/>
    </row>
    <row r="98" spans="1:8" ht="16" thickBot="1" x14ac:dyDescent="0.25">
      <c r="A98" s="235"/>
      <c r="B98" s="218"/>
      <c r="C98" s="218"/>
      <c r="D98" s="218" t="s">
        <v>3067</v>
      </c>
      <c r="E98" s="218"/>
      <c r="F98" s="218"/>
      <c r="G98" s="218"/>
      <c r="H98" s="219"/>
    </row>
    <row r="100" spans="1:8" x14ac:dyDescent="0.2">
      <c r="A100" s="45" t="s">
        <v>702</v>
      </c>
      <c r="B100" s="46"/>
      <c r="C100" s="46"/>
      <c r="D100" s="46"/>
      <c r="E100" s="46"/>
      <c r="F100" s="46"/>
      <c r="G100" s="46"/>
      <c r="H100" s="46"/>
    </row>
    <row r="101" spans="1:8" x14ac:dyDescent="0.2">
      <c r="A101" s="43" t="s">
        <v>703</v>
      </c>
    </row>
    <row r="102" spans="1:8" x14ac:dyDescent="0.2">
      <c r="A102" s="43" t="s">
        <v>704</v>
      </c>
    </row>
    <row r="103" spans="1:8" x14ac:dyDescent="0.2">
      <c r="A103" s="43" t="s">
        <v>705</v>
      </c>
    </row>
    <row r="104" spans="1:8" x14ac:dyDescent="0.2">
      <c r="A104" s="43" t="s">
        <v>706</v>
      </c>
    </row>
    <row r="105" spans="1:8" x14ac:dyDescent="0.2">
      <c r="A105" s="43" t="s">
        <v>707</v>
      </c>
    </row>
    <row r="107" spans="1:8" x14ac:dyDescent="0.2">
      <c r="A107" s="43" t="s">
        <v>708</v>
      </c>
    </row>
    <row r="108" spans="1:8" x14ac:dyDescent="0.2">
      <c r="A108" s="43" t="s">
        <v>709</v>
      </c>
    </row>
    <row r="109" spans="1:8" x14ac:dyDescent="0.2">
      <c r="A109" s="43" t="s">
        <v>710</v>
      </c>
    </row>
    <row r="111" spans="1:8" x14ac:dyDescent="0.2">
      <c r="F111" s="43" t="s">
        <v>694</v>
      </c>
      <c r="H111" s="74">
        <f>2000/1.07+4000/(1.07*1.09)+5000/(1.07*1.09*1.11)+7000/(1.07*1.09*1.11*1.13)</f>
        <v>13946.074376647117</v>
      </c>
    </row>
    <row r="113" spans="1:10" x14ac:dyDescent="0.2">
      <c r="A113" s="44" t="s">
        <v>711</v>
      </c>
    </row>
    <row r="114" spans="1:10" x14ac:dyDescent="0.2">
      <c r="A114" s="43" t="s">
        <v>712</v>
      </c>
    </row>
    <row r="115" spans="1:10" x14ac:dyDescent="0.2">
      <c r="A115" s="43" t="s">
        <v>713</v>
      </c>
    </row>
    <row r="116" spans="1:10" x14ac:dyDescent="0.2">
      <c r="J116" s="47" t="s">
        <v>3068</v>
      </c>
    </row>
    <row r="117" spans="1:10" ht="16" thickBot="1" x14ac:dyDescent="0.25">
      <c r="A117" s="49" t="s">
        <v>714</v>
      </c>
      <c r="B117" s="444" t="s">
        <v>715</v>
      </c>
      <c r="C117" s="49" t="s">
        <v>716</v>
      </c>
      <c r="D117" s="47" t="s">
        <v>717</v>
      </c>
      <c r="H117" s="290" t="s">
        <v>718</v>
      </c>
    </row>
    <row r="118" spans="1:10" x14ac:dyDescent="0.2">
      <c r="A118" s="47">
        <v>1</v>
      </c>
      <c r="B118" s="29">
        <v>2000</v>
      </c>
      <c r="C118" s="441">
        <v>7.0000000000000007E-2</v>
      </c>
      <c r="D118" s="445">
        <f>B118/(1+C118)</f>
        <v>1869.1588785046729</v>
      </c>
      <c r="E118" s="443"/>
      <c r="H118" s="43" t="str">
        <f ca="1">_xlfn.FORMULATEXT(D118)</f>
        <v>=B118/(1+C118)</v>
      </c>
    </row>
    <row r="119" spans="1:10" x14ac:dyDescent="0.2">
      <c r="A119" s="47">
        <v>2</v>
      </c>
      <c r="B119" s="29">
        <v>4000</v>
      </c>
      <c r="C119" s="441">
        <v>0.09</v>
      </c>
      <c r="D119" s="446">
        <f>B119/((1+C119)*(1+C118))</f>
        <v>3429.6493183571974</v>
      </c>
      <c r="E119" s="443"/>
      <c r="H119" s="43" t="str">
        <f ca="1">_xlfn.FORMULATEXT(D119)</f>
        <v>=B119/((1+C119)*(1+C118))</v>
      </c>
    </row>
    <row r="120" spans="1:10" x14ac:dyDescent="0.2">
      <c r="A120" s="47">
        <v>3</v>
      </c>
      <c r="B120" s="29">
        <v>5000</v>
      </c>
      <c r="C120" s="441">
        <v>0.11</v>
      </c>
      <c r="D120" s="446">
        <f>B120/((1+C120)*(1+C119)*(1+C118))</f>
        <v>3862.2177008526996</v>
      </c>
      <c r="E120" s="443"/>
      <c r="H120" s="43" t="str">
        <f ca="1">_xlfn.FORMULATEXT(D120)</f>
        <v>=B120/((1+C120)*(1+C119)*(1+C118))</v>
      </c>
    </row>
    <row r="121" spans="1:10" ht="16" thickBot="1" x14ac:dyDescent="0.25">
      <c r="A121" s="47">
        <v>4</v>
      </c>
      <c r="B121" s="29">
        <v>7000</v>
      </c>
      <c r="C121" s="441">
        <v>0.13</v>
      </c>
      <c r="D121" s="447">
        <f>B121/((1+C121)*(1+C120)*(1+C119)*(1+C118))</f>
        <v>4785.0484789325483</v>
      </c>
      <c r="E121" s="443"/>
      <c r="H121" s="43" t="str">
        <f ca="1">_xlfn.FORMULATEXT(D121)</f>
        <v>=B121/((1+C121)*(1+C120)*(1+C119)*(1+C118))</v>
      </c>
    </row>
    <row r="122" spans="1:10" x14ac:dyDescent="0.2">
      <c r="B122" s="443"/>
      <c r="C122" s="443"/>
      <c r="D122" s="290"/>
      <c r="E122" s="443"/>
    </row>
    <row r="123" spans="1:10" x14ac:dyDescent="0.2">
      <c r="B123" s="290" t="s">
        <v>719</v>
      </c>
      <c r="C123" s="443"/>
      <c r="D123" s="442">
        <f>SUM(D118:D121)</f>
        <v>13946.074376647117</v>
      </c>
      <c r="E123" s="443" t="s">
        <v>720</v>
      </c>
      <c r="I123" s="43" t="s">
        <v>3070</v>
      </c>
      <c r="J123" s="43" t="s">
        <v>3069</v>
      </c>
    </row>
    <row r="125" spans="1:10" x14ac:dyDescent="0.2">
      <c r="A125" s="44" t="s">
        <v>721</v>
      </c>
    </row>
    <row r="126" spans="1:10" x14ac:dyDescent="0.2">
      <c r="A126" s="43" t="s">
        <v>3071</v>
      </c>
    </row>
    <row r="127" spans="1:10" x14ac:dyDescent="0.2">
      <c r="A127" s="43" t="s">
        <v>3072</v>
      </c>
    </row>
    <row r="129" spans="1:8" x14ac:dyDescent="0.2">
      <c r="B129" s="47" t="s">
        <v>722</v>
      </c>
      <c r="C129" s="47" t="s">
        <v>723</v>
      </c>
      <c r="D129" s="47" t="s">
        <v>724</v>
      </c>
      <c r="E129" s="47" t="s">
        <v>725</v>
      </c>
    </row>
    <row r="130" spans="1:8" x14ac:dyDescent="0.2">
      <c r="B130" s="47" t="s">
        <v>726</v>
      </c>
      <c r="C130" s="47" t="s">
        <v>155</v>
      </c>
      <c r="D130" s="47" t="s">
        <v>154</v>
      </c>
      <c r="E130" s="47" t="s">
        <v>727</v>
      </c>
    </row>
    <row r="131" spans="1:8" x14ac:dyDescent="0.2">
      <c r="B131" s="54">
        <v>7.0000000000000007E-2</v>
      </c>
      <c r="C131" s="54">
        <v>0.09</v>
      </c>
      <c r="D131" s="54">
        <v>0.11</v>
      </c>
      <c r="E131" s="54">
        <f>C121</f>
        <v>0.13</v>
      </c>
      <c r="F131" s="43" t="s">
        <v>87</v>
      </c>
    </row>
    <row r="132" spans="1:8" x14ac:dyDescent="0.2">
      <c r="B132" s="47">
        <v>1</v>
      </c>
      <c r="C132" s="47">
        <v>1</v>
      </c>
      <c r="D132" s="47">
        <v>1</v>
      </c>
      <c r="E132" s="47">
        <v>1</v>
      </c>
      <c r="F132" s="43" t="s">
        <v>89</v>
      </c>
    </row>
    <row r="133" spans="1:8" x14ac:dyDescent="0.2">
      <c r="B133" s="47">
        <v>0</v>
      </c>
      <c r="C133" s="47">
        <v>0</v>
      </c>
      <c r="D133" s="47">
        <v>0</v>
      </c>
      <c r="E133" s="47">
        <v>0</v>
      </c>
      <c r="F133" s="43" t="s">
        <v>91</v>
      </c>
    </row>
    <row r="134" spans="1:8" x14ac:dyDescent="0.2">
      <c r="B134" s="453">
        <f>PV(B131,B132,B133,B135)</f>
        <v>-13946.074376647119</v>
      </c>
      <c r="C134" s="450">
        <f>PV(C131,C132,C133,C135)</f>
        <v>-12922.299583012418</v>
      </c>
      <c r="D134" s="451">
        <f>PV(D131,D132,D133,D135)</f>
        <v>-10085.306545483536</v>
      </c>
      <c r="E134" s="247">
        <f>PV(E131,E132,E133,E135)</f>
        <v>-6194.6902654867263</v>
      </c>
      <c r="F134" s="43" t="s">
        <v>281</v>
      </c>
    </row>
    <row r="135" spans="1:8" x14ac:dyDescent="0.2">
      <c r="A135" s="44" t="s">
        <v>728</v>
      </c>
      <c r="B135" s="452">
        <f>-C134+B118</f>
        <v>14922.299583012418</v>
      </c>
      <c r="C135" s="449">
        <f>-D134+B119</f>
        <v>14085.306545483536</v>
      </c>
      <c r="D135" s="448">
        <f>-E134+B120</f>
        <v>11194.690265486726</v>
      </c>
      <c r="E135" s="47">
        <f>B121</f>
        <v>7000</v>
      </c>
      <c r="F135" s="43" t="s">
        <v>105</v>
      </c>
    </row>
    <row r="136" spans="1:8" x14ac:dyDescent="0.2">
      <c r="B136" s="204"/>
      <c r="C136" s="204"/>
      <c r="D136" s="204"/>
      <c r="E136" s="204"/>
      <c r="F136" s="43" t="s">
        <v>328</v>
      </c>
    </row>
    <row r="140" spans="1:8" x14ac:dyDescent="0.2">
      <c r="A140" s="45" t="s">
        <v>729</v>
      </c>
      <c r="B140" s="46"/>
      <c r="C140" s="46"/>
      <c r="D140" s="46"/>
      <c r="E140" s="46"/>
      <c r="F140" s="46"/>
      <c r="G140" s="46"/>
      <c r="H140" s="46"/>
    </row>
    <row r="141" spans="1:8" x14ac:dyDescent="0.2">
      <c r="A141" s="43" t="s">
        <v>730</v>
      </c>
    </row>
    <row r="142" spans="1:8" x14ac:dyDescent="0.2">
      <c r="A142" s="43" t="s">
        <v>731</v>
      </c>
    </row>
    <row r="144" spans="1:8" x14ac:dyDescent="0.2">
      <c r="A144" s="43" t="s">
        <v>732</v>
      </c>
    </row>
    <row r="146" spans="1:8" x14ac:dyDescent="0.2">
      <c r="A146" s="44" t="s">
        <v>3073</v>
      </c>
    </row>
    <row r="148" spans="1:8" x14ac:dyDescent="0.2">
      <c r="F148" s="43" t="s">
        <v>694</v>
      </c>
      <c r="H148" s="74">
        <v>32345</v>
      </c>
    </row>
    <row r="150" spans="1:8" x14ac:dyDescent="0.2">
      <c r="A150" s="80" t="s">
        <v>564</v>
      </c>
      <c r="B150" s="80" t="s">
        <v>115</v>
      </c>
    </row>
    <row r="151" spans="1:8" x14ac:dyDescent="0.2">
      <c r="A151" s="80" t="s">
        <v>733</v>
      </c>
      <c r="B151" s="80" t="s">
        <v>734</v>
      </c>
    </row>
    <row r="152" spans="1:8" x14ac:dyDescent="0.2">
      <c r="A152" s="80">
        <v>1</v>
      </c>
      <c r="B152" s="80"/>
    </row>
    <row r="153" spans="1:8" x14ac:dyDescent="0.2">
      <c r="A153" s="81" t="s">
        <v>735</v>
      </c>
      <c r="B153" s="81">
        <v>36000</v>
      </c>
      <c r="D153" s="43" t="s">
        <v>3074</v>
      </c>
    </row>
    <row r="154" spans="1:8" x14ac:dyDescent="0.2">
      <c r="A154" s="81">
        <v>3</v>
      </c>
      <c r="B154" s="81"/>
      <c r="D154" s="43" t="s">
        <v>3075</v>
      </c>
    </row>
    <row r="155" spans="1:8" x14ac:dyDescent="0.2">
      <c r="A155" s="82" t="s">
        <v>736</v>
      </c>
      <c r="B155" s="81">
        <v>40068</v>
      </c>
      <c r="D155" s="43" t="s">
        <v>3076</v>
      </c>
    </row>
    <row r="157" spans="1:8" x14ac:dyDescent="0.2">
      <c r="A157" s="43" t="s">
        <v>737</v>
      </c>
    </row>
    <row r="158" spans="1:8" x14ac:dyDescent="0.2">
      <c r="A158" s="43" t="s">
        <v>738</v>
      </c>
    </row>
    <row r="159" spans="1:8" x14ac:dyDescent="0.2">
      <c r="D159" s="454" t="s">
        <v>739</v>
      </c>
    </row>
    <row r="160" spans="1:8" ht="16" thickBot="1" x14ac:dyDescent="0.25"/>
    <row r="161" spans="1:7" x14ac:dyDescent="0.2">
      <c r="C161" s="47">
        <v>4</v>
      </c>
      <c r="E161" s="47">
        <v>2</v>
      </c>
      <c r="G161" s="455">
        <v>0</v>
      </c>
    </row>
    <row r="162" spans="1:7" x14ac:dyDescent="0.2">
      <c r="E162" s="47"/>
      <c r="G162" s="456"/>
    </row>
    <row r="163" spans="1:7" ht="16" thickBot="1" x14ac:dyDescent="0.25">
      <c r="C163" s="48">
        <f>B155</f>
        <v>40068</v>
      </c>
      <c r="E163" s="48">
        <v>36000</v>
      </c>
      <c r="G163" s="457" t="s">
        <v>740</v>
      </c>
    </row>
    <row r="164" spans="1:7" x14ac:dyDescent="0.2">
      <c r="C164" s="47" t="s">
        <v>741</v>
      </c>
      <c r="E164" s="47" t="s">
        <v>741</v>
      </c>
    </row>
    <row r="167" spans="1:7" x14ac:dyDescent="0.2">
      <c r="C167" s="668">
        <f>RATE(C168,C169,C170,C171)</f>
        <v>5.4988151592319838E-2</v>
      </c>
      <c r="D167" s="43" t="s">
        <v>87</v>
      </c>
      <c r="E167" s="43" t="s">
        <v>742</v>
      </c>
    </row>
    <row r="168" spans="1:7" x14ac:dyDescent="0.2">
      <c r="C168" s="47">
        <v>2</v>
      </c>
      <c r="D168" s="43" t="s">
        <v>89</v>
      </c>
      <c r="E168" s="43" t="s">
        <v>743</v>
      </c>
    </row>
    <row r="169" spans="1:7" x14ac:dyDescent="0.2">
      <c r="C169" s="47">
        <v>0</v>
      </c>
      <c r="D169" s="43" t="s">
        <v>91</v>
      </c>
      <c r="E169" s="43" t="s">
        <v>3077</v>
      </c>
    </row>
    <row r="170" spans="1:7" x14ac:dyDescent="0.2">
      <c r="C170" s="47">
        <f>-B153</f>
        <v>-36000</v>
      </c>
      <c r="D170" s="43" t="s">
        <v>281</v>
      </c>
      <c r="E170" s="43" t="s">
        <v>3079</v>
      </c>
    </row>
    <row r="171" spans="1:7" x14ac:dyDescent="0.2">
      <c r="C171" s="47">
        <f>B155</f>
        <v>40068</v>
      </c>
      <c r="D171" s="43" t="s">
        <v>105</v>
      </c>
      <c r="E171" s="43" t="s">
        <v>3078</v>
      </c>
    </row>
    <row r="173" spans="1:7" x14ac:dyDescent="0.2">
      <c r="A173" s="44" t="s">
        <v>744</v>
      </c>
    </row>
    <row r="175" spans="1:7" x14ac:dyDescent="0.2">
      <c r="C175" s="83">
        <f>C167</f>
        <v>5.4988151592319838E-2</v>
      </c>
      <c r="D175" s="43" t="s">
        <v>87</v>
      </c>
    </row>
    <row r="176" spans="1:7" x14ac:dyDescent="0.2">
      <c r="C176" s="47">
        <v>2</v>
      </c>
      <c r="D176" s="43" t="s">
        <v>89</v>
      </c>
      <c r="E176" s="43" t="s">
        <v>745</v>
      </c>
    </row>
    <row r="177" spans="1:8" x14ac:dyDescent="0.2">
      <c r="C177" s="47">
        <v>0</v>
      </c>
      <c r="D177" s="43" t="s">
        <v>91</v>
      </c>
    </row>
    <row r="178" spans="1:8" x14ac:dyDescent="0.2">
      <c r="C178" s="84">
        <f>PV(C175,C176,C177,C179)</f>
        <v>-32345.013477083729</v>
      </c>
      <c r="D178" s="43" t="s">
        <v>281</v>
      </c>
      <c r="E178" s="43" t="s">
        <v>728</v>
      </c>
    </row>
    <row r="179" spans="1:8" x14ac:dyDescent="0.2">
      <c r="C179" s="47">
        <v>36000</v>
      </c>
      <c r="D179" s="43" t="s">
        <v>105</v>
      </c>
      <c r="E179" s="43" t="s">
        <v>746</v>
      </c>
    </row>
    <row r="180" spans="1:8" x14ac:dyDescent="0.2">
      <c r="C180" s="47"/>
    </row>
    <row r="181" spans="1:8" x14ac:dyDescent="0.2">
      <c r="A181" s="43" t="s">
        <v>747</v>
      </c>
      <c r="C181" s="47"/>
    </row>
    <row r="182" spans="1:8" x14ac:dyDescent="0.2">
      <c r="C182" s="47"/>
    </row>
    <row r="183" spans="1:8" x14ac:dyDescent="0.2">
      <c r="A183" s="44" t="s">
        <v>3080</v>
      </c>
      <c r="C183" s="47"/>
    </row>
    <row r="185" spans="1:8" x14ac:dyDescent="0.2">
      <c r="A185" s="45" t="s">
        <v>3081</v>
      </c>
      <c r="B185" s="45"/>
      <c r="C185" s="45"/>
      <c r="D185" s="45"/>
      <c r="E185" s="45"/>
      <c r="F185" s="45"/>
      <c r="G185" s="45"/>
      <c r="H185" s="45"/>
    </row>
    <row r="186" spans="1:8" x14ac:dyDescent="0.2">
      <c r="A186" s="43" t="s">
        <v>3082</v>
      </c>
    </row>
    <row r="187" spans="1:8" x14ac:dyDescent="0.2">
      <c r="A187" s="43" t="s">
        <v>3083</v>
      </c>
    </row>
    <row r="188" spans="1:8" x14ac:dyDescent="0.2">
      <c r="A188" s="43" t="s">
        <v>3084</v>
      </c>
    </row>
    <row r="190" spans="1:8" x14ac:dyDescent="0.2">
      <c r="D190" s="47" t="s">
        <v>3089</v>
      </c>
      <c r="E190" s="47" t="s">
        <v>3085</v>
      </c>
    </row>
    <row r="191" spans="1:8" x14ac:dyDescent="0.2">
      <c r="D191" s="47" t="s">
        <v>3090</v>
      </c>
      <c r="E191" s="47" t="s">
        <v>3086</v>
      </c>
    </row>
    <row r="192" spans="1:8" x14ac:dyDescent="0.2">
      <c r="D192" s="47" t="s">
        <v>3091</v>
      </c>
      <c r="E192" s="47" t="s">
        <v>3087</v>
      </c>
    </row>
    <row r="193" spans="1:8" x14ac:dyDescent="0.2">
      <c r="D193" s="49" t="s">
        <v>3092</v>
      </c>
      <c r="E193" s="49" t="s">
        <v>3088</v>
      </c>
    </row>
    <row r="194" spans="1:8" x14ac:dyDescent="0.2">
      <c r="D194" s="669">
        <f>E194</f>
        <v>8.4109719968686047E-2</v>
      </c>
      <c r="E194" s="669">
        <f>RATE(E195,E196,E197,E198)</f>
        <v>8.4109719968686047E-2</v>
      </c>
      <c r="F194" s="43" t="s">
        <v>87</v>
      </c>
    </row>
    <row r="195" spans="1:8" x14ac:dyDescent="0.2">
      <c r="D195" s="47">
        <v>4</v>
      </c>
      <c r="E195" s="47">
        <v>7</v>
      </c>
      <c r="F195" s="43" t="s">
        <v>89</v>
      </c>
    </row>
    <row r="196" spans="1:8" x14ac:dyDescent="0.2">
      <c r="D196" s="47">
        <v>0</v>
      </c>
      <c r="E196" s="47">
        <v>0</v>
      </c>
      <c r="F196" s="43" t="s">
        <v>91</v>
      </c>
    </row>
    <row r="197" spans="1:8" x14ac:dyDescent="0.2">
      <c r="A197" s="43" t="s">
        <v>3093</v>
      </c>
      <c r="D197" s="150">
        <f>PV(D194,D195,D196,D198)</f>
        <v>-180986.86427173342</v>
      </c>
      <c r="E197" s="48">
        <v>-250000</v>
      </c>
      <c r="F197" s="43" t="s">
        <v>281</v>
      </c>
    </row>
    <row r="198" spans="1:8" x14ac:dyDescent="0.2">
      <c r="A198" s="43" t="s">
        <v>3094</v>
      </c>
      <c r="D198" s="48">
        <f>250000</f>
        <v>250000</v>
      </c>
      <c r="E198" s="48">
        <v>440000</v>
      </c>
      <c r="F198" s="43" t="s">
        <v>105</v>
      </c>
    </row>
    <row r="204" spans="1:8" x14ac:dyDescent="0.2">
      <c r="A204" s="45" t="s">
        <v>748</v>
      </c>
      <c r="B204" s="46"/>
      <c r="C204" s="46"/>
      <c r="D204" s="46"/>
      <c r="E204" s="46"/>
      <c r="F204" s="46"/>
      <c r="G204" s="46"/>
      <c r="H204" s="46"/>
    </row>
    <row r="205" spans="1:8" x14ac:dyDescent="0.2">
      <c r="A205" s="43" t="s">
        <v>749</v>
      </c>
    </row>
    <row r="206" spans="1:8" x14ac:dyDescent="0.2">
      <c r="A206" s="43" t="s">
        <v>750</v>
      </c>
    </row>
    <row r="207" spans="1:8" x14ac:dyDescent="0.2">
      <c r="A207" s="43" t="s">
        <v>751</v>
      </c>
    </row>
    <row r="209" spans="1:8" x14ac:dyDescent="0.2">
      <c r="F209" s="43" t="s">
        <v>694</v>
      </c>
      <c r="H209" s="74">
        <v>14260</v>
      </c>
    </row>
    <row r="211" spans="1:8" x14ac:dyDescent="0.2">
      <c r="C211" s="54">
        <v>7.0000000000000007E-2</v>
      </c>
      <c r="D211" s="47" t="s">
        <v>87</v>
      </c>
    </row>
    <row r="212" spans="1:8" x14ac:dyDescent="0.2">
      <c r="C212" s="47">
        <v>5</v>
      </c>
      <c r="D212" s="47" t="s">
        <v>89</v>
      </c>
    </row>
    <row r="213" spans="1:8" x14ac:dyDescent="0.2">
      <c r="C213" s="47">
        <v>0</v>
      </c>
      <c r="D213" s="47" t="s">
        <v>91</v>
      </c>
    </row>
    <row r="214" spans="1:8" x14ac:dyDescent="0.2">
      <c r="C214" s="84">
        <f>PV(C211,C212,C213,C215)</f>
        <v>-14259.723589673367</v>
      </c>
      <c r="D214" s="47" t="s">
        <v>281</v>
      </c>
    </row>
    <row r="215" spans="1:8" x14ac:dyDescent="0.2">
      <c r="C215" s="47">
        <v>20000</v>
      </c>
      <c r="D215" s="47" t="s">
        <v>105</v>
      </c>
    </row>
    <row r="217" spans="1:8" x14ac:dyDescent="0.2">
      <c r="A217" s="43" t="s">
        <v>752</v>
      </c>
    </row>
    <row r="219" spans="1:8" x14ac:dyDescent="0.2">
      <c r="A219" s="45" t="s">
        <v>3028</v>
      </c>
      <c r="B219" s="46"/>
      <c r="C219" s="46"/>
      <c r="D219" s="46"/>
      <c r="E219" s="46"/>
      <c r="F219" s="46"/>
      <c r="G219" s="46"/>
      <c r="H219" s="46"/>
    </row>
    <row r="220" spans="1:8" x14ac:dyDescent="0.2">
      <c r="A220" s="43" t="s">
        <v>753</v>
      </c>
    </row>
    <row r="222" spans="1:8" x14ac:dyDescent="0.2">
      <c r="A222" s="43" t="s">
        <v>754</v>
      </c>
      <c r="B222" s="43" t="s">
        <v>755</v>
      </c>
    </row>
    <row r="223" spans="1:8" x14ac:dyDescent="0.2">
      <c r="B223" s="43" t="s">
        <v>756</v>
      </c>
    </row>
    <row r="225" spans="1:9" x14ac:dyDescent="0.2">
      <c r="A225" s="43" t="s">
        <v>757</v>
      </c>
      <c r="B225" s="43" t="s">
        <v>758</v>
      </c>
    </row>
    <row r="227" spans="1:9" x14ac:dyDescent="0.2">
      <c r="A227" s="43" t="s">
        <v>759</v>
      </c>
    </row>
    <row r="229" spans="1:9" x14ac:dyDescent="0.2">
      <c r="F229" s="43" t="s">
        <v>694</v>
      </c>
      <c r="H229" s="43" t="s">
        <v>760</v>
      </c>
    </row>
    <row r="231" spans="1:9" x14ac:dyDescent="0.2">
      <c r="A231" s="44" t="s">
        <v>761</v>
      </c>
    </row>
    <row r="232" spans="1:9" x14ac:dyDescent="0.2">
      <c r="A232" s="44" t="s">
        <v>762</v>
      </c>
    </row>
    <row r="234" spans="1:9" x14ac:dyDescent="0.2">
      <c r="A234" s="43" t="s">
        <v>763</v>
      </c>
      <c r="G234" s="43" t="s">
        <v>764</v>
      </c>
    </row>
    <row r="235" spans="1:9" x14ac:dyDescent="0.2">
      <c r="A235" s="59" t="s">
        <v>564</v>
      </c>
      <c r="B235" s="59" t="s">
        <v>765</v>
      </c>
      <c r="G235" s="59" t="s">
        <v>564</v>
      </c>
      <c r="H235" s="59" t="s">
        <v>765</v>
      </c>
    </row>
    <row r="236" spans="1:9" x14ac:dyDescent="0.2">
      <c r="A236" s="43">
        <v>4</v>
      </c>
      <c r="B236" s="85">
        <v>2000</v>
      </c>
      <c r="C236" s="458">
        <f>B236/1.01^4</f>
        <v>1921.9606889656325</v>
      </c>
      <c r="E236" s="43" t="s">
        <v>766</v>
      </c>
      <c r="G236" s="43">
        <v>0</v>
      </c>
      <c r="H236" s="85">
        <v>4400</v>
      </c>
    </row>
    <row r="237" spans="1:9" x14ac:dyDescent="0.2">
      <c r="A237" s="43">
        <v>8</v>
      </c>
      <c r="B237" s="85">
        <v>3000</v>
      </c>
      <c r="C237" s="458">
        <f>B237/1.01^8</f>
        <v>2770.4496674469365</v>
      </c>
      <c r="E237" s="43" t="s">
        <v>767</v>
      </c>
    </row>
    <row r="239" spans="1:9" x14ac:dyDescent="0.2">
      <c r="A239" s="43" t="s">
        <v>768</v>
      </c>
      <c r="C239" s="86">
        <f>2000/1.01^4+3000/1.01^8</f>
        <v>4692.4103564125689</v>
      </c>
      <c r="G239" s="43" t="s">
        <v>768</v>
      </c>
      <c r="I239" s="86">
        <f>H236</f>
        <v>4400</v>
      </c>
    </row>
    <row r="241" spans="1:4" x14ac:dyDescent="0.2">
      <c r="A241" s="43" t="s">
        <v>769</v>
      </c>
    </row>
    <row r="243" spans="1:4" x14ac:dyDescent="0.2">
      <c r="A243" s="87" t="s">
        <v>770</v>
      </c>
    </row>
    <row r="244" spans="1:4" x14ac:dyDescent="0.2">
      <c r="B244" s="43" t="s">
        <v>771</v>
      </c>
      <c r="C244" s="43" t="s">
        <v>772</v>
      </c>
    </row>
    <row r="245" spans="1:4" x14ac:dyDescent="0.2">
      <c r="B245" s="59" t="s">
        <v>773</v>
      </c>
      <c r="C245" s="59" t="s">
        <v>774</v>
      </c>
    </row>
    <row r="246" spans="1:4" x14ac:dyDescent="0.2">
      <c r="B246" s="77">
        <v>0.01</v>
      </c>
      <c r="C246" s="77">
        <v>0.01</v>
      </c>
      <c r="D246" s="43" t="s">
        <v>87</v>
      </c>
    </row>
    <row r="247" spans="1:4" ht="16" thickBot="1" x14ac:dyDescent="0.25">
      <c r="B247" s="43">
        <v>4</v>
      </c>
      <c r="C247" s="43">
        <v>4</v>
      </c>
      <c r="D247" s="43" t="s">
        <v>89</v>
      </c>
    </row>
    <row r="248" spans="1:4" ht="16" thickBot="1" x14ac:dyDescent="0.25">
      <c r="B248" s="88">
        <f>PV(B246,B247,B249,B250)</f>
        <v>-4692.4103564125699</v>
      </c>
      <c r="C248" s="86">
        <f>PV(C246,C247,C249,C250)</f>
        <v>-2882.9410334484487</v>
      </c>
      <c r="D248" s="43" t="s">
        <v>281</v>
      </c>
    </row>
    <row r="249" spans="1:4" x14ac:dyDescent="0.2">
      <c r="B249" s="43">
        <v>0</v>
      </c>
      <c r="C249" s="43">
        <v>0</v>
      </c>
      <c r="D249" s="43" t="s">
        <v>91</v>
      </c>
    </row>
    <row r="250" spans="1:4" x14ac:dyDescent="0.2">
      <c r="B250" s="74">
        <f>-C248+2000</f>
        <v>4882.9410334484492</v>
      </c>
      <c r="C250" s="43">
        <v>3000</v>
      </c>
      <c r="D250" s="43" t="s">
        <v>105</v>
      </c>
    </row>
    <row r="252" spans="1:4" x14ac:dyDescent="0.2">
      <c r="A252" s="43" t="s">
        <v>775</v>
      </c>
    </row>
    <row r="253" spans="1:4" x14ac:dyDescent="0.2">
      <c r="A253" s="43" t="s">
        <v>776</v>
      </c>
    </row>
    <row r="254" spans="1:4" x14ac:dyDescent="0.2">
      <c r="A254" s="43" t="s">
        <v>777</v>
      </c>
    </row>
    <row r="255" spans="1:4" x14ac:dyDescent="0.2">
      <c r="A255" s="43" t="s">
        <v>778</v>
      </c>
    </row>
    <row r="264" spans="1:8" x14ac:dyDescent="0.2">
      <c r="A264" s="45" t="s">
        <v>779</v>
      </c>
      <c r="B264" s="46"/>
      <c r="C264" s="46"/>
      <c r="D264" s="46"/>
      <c r="E264" s="249" t="s">
        <v>780</v>
      </c>
      <c r="F264" s="46"/>
      <c r="G264" s="46"/>
      <c r="H264" s="46"/>
    </row>
    <row r="265" spans="1:8" x14ac:dyDescent="0.2">
      <c r="A265" s="43" t="s">
        <v>781</v>
      </c>
    </row>
    <row r="266" spans="1:8" x14ac:dyDescent="0.2">
      <c r="A266" s="43" t="s">
        <v>782</v>
      </c>
    </row>
    <row r="267" spans="1:8" x14ac:dyDescent="0.2">
      <c r="A267" s="43" t="s">
        <v>783</v>
      </c>
    </row>
    <row r="268" spans="1:8" x14ac:dyDescent="0.2">
      <c r="A268" s="43" t="s">
        <v>784</v>
      </c>
    </row>
    <row r="269" spans="1:8" x14ac:dyDescent="0.2">
      <c r="A269" s="43" t="s">
        <v>785</v>
      </c>
    </row>
    <row r="271" spans="1:8" x14ac:dyDescent="0.2">
      <c r="A271" s="43" t="s">
        <v>786</v>
      </c>
    </row>
    <row r="273" spans="1:8" x14ac:dyDescent="0.2">
      <c r="F273" s="43" t="s">
        <v>694</v>
      </c>
      <c r="H273" s="74">
        <v>7634.93</v>
      </c>
    </row>
    <row r="274" spans="1:8" x14ac:dyDescent="0.2">
      <c r="A274" s="43" t="s">
        <v>214</v>
      </c>
    </row>
    <row r="275" spans="1:8" x14ac:dyDescent="0.2">
      <c r="B275" s="43" t="str">
        <f ca="1">_xlfn.FORMULATEXT(C275)</f>
        <v>=10000/(1.1*1.08*1.05^2)</v>
      </c>
      <c r="C275" s="90">
        <f>10000/(1.1*1.08*1.05^2)</f>
        <v>7634.9282698489033</v>
      </c>
    </row>
    <row r="277" spans="1:8" x14ac:dyDescent="0.2">
      <c r="A277" s="43" t="s">
        <v>787</v>
      </c>
    </row>
    <row r="278" spans="1:8" x14ac:dyDescent="0.2">
      <c r="D278" s="49" t="s">
        <v>788</v>
      </c>
      <c r="E278" s="49" t="s">
        <v>789</v>
      </c>
      <c r="F278" s="49" t="s">
        <v>790</v>
      </c>
    </row>
    <row r="279" spans="1:8" x14ac:dyDescent="0.2">
      <c r="D279" s="54">
        <v>0.05</v>
      </c>
      <c r="E279" s="54">
        <v>0.08</v>
      </c>
      <c r="F279" s="54">
        <v>0.1</v>
      </c>
      <c r="G279" s="43" t="s">
        <v>87</v>
      </c>
    </row>
    <row r="280" spans="1:8" ht="16" thickBot="1" x14ac:dyDescent="0.25">
      <c r="D280" s="47">
        <v>2</v>
      </c>
      <c r="E280" s="47">
        <v>1</v>
      </c>
      <c r="F280" s="47">
        <v>1</v>
      </c>
      <c r="G280" s="43" t="s">
        <v>89</v>
      </c>
    </row>
    <row r="281" spans="1:8" ht="16" thickBot="1" x14ac:dyDescent="0.25">
      <c r="C281" s="74"/>
      <c r="D281" s="91">
        <f>PV(D279,D280,D282,D283)</f>
        <v>-7634.9282698489033</v>
      </c>
      <c r="E281" s="89">
        <f>PV(E279,E280,E282,E283)</f>
        <v>-8417.5084175084157</v>
      </c>
      <c r="F281" s="89">
        <f>PV(F279,F280,F282,F283)</f>
        <v>-9090.9090909090901</v>
      </c>
      <c r="G281" s="43" t="s">
        <v>281</v>
      </c>
    </row>
    <row r="282" spans="1:8" x14ac:dyDescent="0.2">
      <c r="D282" s="47">
        <v>0</v>
      </c>
      <c r="E282" s="47">
        <v>0</v>
      </c>
      <c r="F282" s="47">
        <v>0</v>
      </c>
      <c r="G282" s="43" t="s">
        <v>91</v>
      </c>
    </row>
    <row r="283" spans="1:8" x14ac:dyDescent="0.2">
      <c r="D283" s="48">
        <f>-E281</f>
        <v>8417.5084175084157</v>
      </c>
      <c r="E283" s="48">
        <f>-F281</f>
        <v>9090.9090909090901</v>
      </c>
      <c r="F283" s="47">
        <v>10000</v>
      </c>
      <c r="G283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43"/>
  <sheetViews>
    <sheetView rightToLeft="1" topLeftCell="A461" zoomScale="170" zoomScaleNormal="170" workbookViewId="0">
      <selection activeCell="C175" sqref="C175"/>
    </sheetView>
  </sheetViews>
  <sheetFormatPr baseColWidth="10" defaultColWidth="11.5" defaultRowHeight="15" x14ac:dyDescent="0.2"/>
  <sheetData>
    <row r="1" spans="1:8" s="43" customFormat="1" ht="18" x14ac:dyDescent="0.2">
      <c r="A1" s="728" t="s">
        <v>3095</v>
      </c>
      <c r="B1" s="728"/>
      <c r="C1" s="728"/>
      <c r="D1" s="728"/>
      <c r="E1" s="728"/>
      <c r="F1" s="728"/>
      <c r="G1" s="728"/>
      <c r="H1" s="728"/>
    </row>
    <row r="2" spans="1:8" ht="16" thickBot="1" x14ac:dyDescent="0.25"/>
    <row r="3" spans="1:8" s="92" customFormat="1" ht="16" x14ac:dyDescent="0.2">
      <c r="A3" s="103" t="s">
        <v>791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792</v>
      </c>
      <c r="H4" s="99"/>
    </row>
    <row r="5" spans="1:8" s="92" customFormat="1" ht="17" thickBot="1" x14ac:dyDescent="0.25">
      <c r="A5" s="100" t="s">
        <v>793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676</v>
      </c>
      <c r="B7" s="94" t="s">
        <v>794</v>
      </c>
      <c r="C7" s="94" t="s">
        <v>2580</v>
      </c>
      <c r="D7" s="94"/>
      <c r="E7" s="94"/>
      <c r="F7" s="94"/>
      <c r="G7" s="94"/>
      <c r="H7" s="94" t="s">
        <v>2581</v>
      </c>
    </row>
    <row r="8" spans="1:8" s="92" customFormat="1" ht="16" x14ac:dyDescent="0.2">
      <c r="A8" s="92" t="s">
        <v>795</v>
      </c>
    </row>
    <row r="9" spans="1:8" s="92" customFormat="1" ht="16" x14ac:dyDescent="0.2">
      <c r="A9" s="92" t="s">
        <v>796</v>
      </c>
    </row>
    <row r="10" spans="1:8" s="92" customFormat="1" ht="16" x14ac:dyDescent="0.2"/>
    <row r="11" spans="1:8" s="92" customFormat="1" ht="16" x14ac:dyDescent="0.2">
      <c r="A11" s="92" t="s">
        <v>321</v>
      </c>
    </row>
    <row r="12" spans="1:8" s="92" customFormat="1" ht="16" x14ac:dyDescent="0.2">
      <c r="A12" s="92" t="s">
        <v>797</v>
      </c>
    </row>
    <row r="13" spans="1:8" s="92" customFormat="1" ht="16" x14ac:dyDescent="0.2">
      <c r="A13" s="92" t="s">
        <v>798</v>
      </c>
    </row>
    <row r="14" spans="1:8" s="92" customFormat="1" ht="16" x14ac:dyDescent="0.2">
      <c r="A14" s="92" t="s">
        <v>799</v>
      </c>
    </row>
    <row r="15" spans="1:8" s="92" customFormat="1" ht="16" x14ac:dyDescent="0.2"/>
    <row r="16" spans="1:8" s="92" customFormat="1" ht="16" x14ac:dyDescent="0.2">
      <c r="A16" s="92" t="s">
        <v>800</v>
      </c>
    </row>
    <row r="17" spans="1:7" s="92" customFormat="1" ht="16" x14ac:dyDescent="0.2">
      <c r="A17" s="92" t="s">
        <v>801</v>
      </c>
    </row>
    <row r="18" spans="1:7" s="92" customFormat="1" ht="16" x14ac:dyDescent="0.2"/>
    <row r="19" spans="1:7" s="92" customFormat="1" ht="16" x14ac:dyDescent="0.2">
      <c r="A19" s="92" t="s">
        <v>802</v>
      </c>
      <c r="D19" s="461">
        <v>0.05</v>
      </c>
      <c r="E19" s="92" t="s">
        <v>87</v>
      </c>
    </row>
    <row r="20" spans="1:7" s="92" customFormat="1" ht="16" x14ac:dyDescent="0.2">
      <c r="A20" s="92" t="s">
        <v>803</v>
      </c>
      <c r="D20" s="462">
        <v>3</v>
      </c>
      <c r="E20" s="92" t="s">
        <v>89</v>
      </c>
    </row>
    <row r="21" spans="1:7" s="92" customFormat="1" ht="16" x14ac:dyDescent="0.2">
      <c r="A21" s="92" t="s">
        <v>804</v>
      </c>
      <c r="D21" s="462">
        <v>100</v>
      </c>
      <c r="E21" s="92" t="s">
        <v>91</v>
      </c>
    </row>
    <row r="22" spans="1:7" s="92" customFormat="1" ht="16" x14ac:dyDescent="0.2">
      <c r="A22" s="92" t="s">
        <v>2582</v>
      </c>
      <c r="D22" s="581">
        <f>PV(D19,D20,D21,D23,D24)</f>
        <v>-272.32480293704799</v>
      </c>
      <c r="E22" s="92" t="s">
        <v>281</v>
      </c>
    </row>
    <row r="23" spans="1:7" s="92" customFormat="1" ht="16" x14ac:dyDescent="0.2">
      <c r="A23" s="92" t="s">
        <v>805</v>
      </c>
      <c r="D23" s="462">
        <v>0</v>
      </c>
      <c r="E23" s="92" t="s">
        <v>105</v>
      </c>
    </row>
    <row r="24" spans="1:7" s="92" customFormat="1" ht="21" x14ac:dyDescent="0.25">
      <c r="A24" s="92" t="s">
        <v>806</v>
      </c>
      <c r="D24" s="25">
        <v>0</v>
      </c>
      <c r="E24" s="92" t="s">
        <v>328</v>
      </c>
      <c r="F24" s="92" t="s">
        <v>2583</v>
      </c>
    </row>
    <row r="25" spans="1:7" s="92" customFormat="1" ht="16" x14ac:dyDescent="0.2">
      <c r="D25" s="105"/>
    </row>
    <row r="26" spans="1:7" s="92" customFormat="1" ht="16" x14ac:dyDescent="0.2">
      <c r="A26" s="92" t="s">
        <v>2584</v>
      </c>
      <c r="D26" s="105"/>
    </row>
    <row r="27" spans="1:7" s="92" customFormat="1" ht="16" x14ac:dyDescent="0.2">
      <c r="D27" s="105"/>
    </row>
    <row r="28" spans="1:7" s="92" customFormat="1" ht="16" x14ac:dyDescent="0.2">
      <c r="A28" s="107" t="s">
        <v>696</v>
      </c>
      <c r="B28" s="306"/>
      <c r="C28" s="306"/>
      <c r="D28" s="461">
        <v>0.05</v>
      </c>
      <c r="E28" s="92" t="s">
        <v>87</v>
      </c>
    </row>
    <row r="29" spans="1:7" s="92" customFormat="1" ht="16" x14ac:dyDescent="0.2">
      <c r="B29" s="306"/>
      <c r="C29" s="306"/>
      <c r="D29" s="462">
        <v>3</v>
      </c>
      <c r="E29" s="92" t="s">
        <v>89</v>
      </c>
      <c r="G29" s="92" t="s">
        <v>3097</v>
      </c>
    </row>
    <row r="30" spans="1:7" s="92" customFormat="1" ht="16" x14ac:dyDescent="0.2">
      <c r="D30" s="105">
        <v>100</v>
      </c>
      <c r="E30" s="92" t="s">
        <v>91</v>
      </c>
      <c r="G30" s="92" t="s">
        <v>3098</v>
      </c>
    </row>
    <row r="31" spans="1:7" s="92" customFormat="1" ht="16" x14ac:dyDescent="0.2">
      <c r="D31" s="581">
        <f>PV(D28,D29,D30,D32,D33)</f>
        <v>-285.94104308390041</v>
      </c>
      <c r="E31" s="92" t="s">
        <v>281</v>
      </c>
      <c r="G31" s="92" t="s">
        <v>3099</v>
      </c>
    </row>
    <row r="32" spans="1:7" s="92" customFormat="1" ht="16" x14ac:dyDescent="0.2">
      <c r="D32" s="105">
        <v>0</v>
      </c>
      <c r="E32" s="92" t="s">
        <v>105</v>
      </c>
    </row>
    <row r="33" spans="1:8" s="92" customFormat="1" ht="23" x14ac:dyDescent="0.25">
      <c r="A33" s="92" t="s">
        <v>807</v>
      </c>
      <c r="D33" s="582">
        <v>1</v>
      </c>
      <c r="E33" s="92" t="s">
        <v>328</v>
      </c>
    </row>
    <row r="34" spans="1:8" s="92" customFormat="1" ht="16" x14ac:dyDescent="0.2"/>
    <row r="35" spans="1:8" s="92" customFormat="1" ht="16" x14ac:dyDescent="0.2">
      <c r="A35" s="94" t="s">
        <v>687</v>
      </c>
      <c r="B35" s="94" t="s">
        <v>808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2585</v>
      </c>
    </row>
    <row r="37" spans="1:8" s="92" customFormat="1" ht="16" x14ac:dyDescent="0.2">
      <c r="A37" s="92" t="s">
        <v>809</v>
      </c>
    </row>
    <row r="38" spans="1:8" s="92" customFormat="1" ht="16" x14ac:dyDescent="0.2"/>
    <row r="39" spans="1:8" s="92" customFormat="1" ht="16" x14ac:dyDescent="0.2">
      <c r="A39" s="92" t="s">
        <v>810</v>
      </c>
    </row>
    <row r="40" spans="1:8" s="92" customFormat="1" ht="17" thickBot="1" x14ac:dyDescent="0.25"/>
    <row r="41" spans="1:8" s="92" customFormat="1" ht="16" x14ac:dyDescent="0.2">
      <c r="A41" s="95" t="s">
        <v>2586</v>
      </c>
      <c r="B41" s="583"/>
      <c r="C41" s="583"/>
      <c r="D41" s="583"/>
      <c r="E41" s="583"/>
      <c r="F41" s="584"/>
    </row>
    <row r="42" spans="1:8" s="92" customFormat="1" ht="17" thickBot="1" x14ac:dyDescent="0.25">
      <c r="A42" s="497" t="s">
        <v>812</v>
      </c>
      <c r="B42" s="585"/>
      <c r="C42" s="585"/>
      <c r="D42" s="585"/>
      <c r="E42" s="585"/>
      <c r="F42" s="586"/>
    </row>
    <row r="43" spans="1:8" s="92" customFormat="1" ht="16" x14ac:dyDescent="0.2"/>
    <row r="44" spans="1:8" s="92" customFormat="1" ht="16" x14ac:dyDescent="0.2">
      <c r="A44" s="92" t="s">
        <v>2587</v>
      </c>
      <c r="D44" s="466">
        <v>5.0000000000000001E-3</v>
      </c>
      <c r="E44" s="92" t="s">
        <v>87</v>
      </c>
    </row>
    <row r="45" spans="1:8" s="92" customFormat="1" ht="16" x14ac:dyDescent="0.2">
      <c r="A45" s="92" t="s">
        <v>813</v>
      </c>
      <c r="D45" s="462">
        <f>20*12</f>
        <v>240</v>
      </c>
      <c r="E45" s="92" t="s">
        <v>89</v>
      </c>
    </row>
    <row r="46" spans="1:8" s="92" customFormat="1" ht="16" x14ac:dyDescent="0.2">
      <c r="A46" s="92" t="s">
        <v>3100</v>
      </c>
      <c r="D46" s="462">
        <v>-3500</v>
      </c>
      <c r="E46" s="306" t="s">
        <v>91</v>
      </c>
    </row>
    <row r="47" spans="1:8" s="92" customFormat="1" ht="16" x14ac:dyDescent="0.2">
      <c r="A47" s="92" t="s">
        <v>814</v>
      </c>
      <c r="D47" s="581">
        <f>PV(D44,D45,D46,D48,D49)</f>
        <v>488532.70089024433</v>
      </c>
      <c r="E47" s="92" t="s">
        <v>281</v>
      </c>
    </row>
    <row r="48" spans="1:8" s="92" customFormat="1" ht="16" x14ac:dyDescent="0.2">
      <c r="A48" s="306" t="s">
        <v>3101</v>
      </c>
      <c r="B48" s="306"/>
      <c r="C48" s="306"/>
      <c r="D48" s="462">
        <v>0</v>
      </c>
      <c r="E48" s="92" t="s">
        <v>105</v>
      </c>
    </row>
    <row r="49" spans="1:8" s="92" customFormat="1" ht="16" x14ac:dyDescent="0.2">
      <c r="A49" s="306" t="s">
        <v>3102</v>
      </c>
      <c r="B49" s="306"/>
      <c r="C49" s="306"/>
      <c r="D49" s="462">
        <v>0</v>
      </c>
      <c r="E49" s="92" t="s">
        <v>328</v>
      </c>
    </row>
    <row r="50" spans="1:8" s="92" customFormat="1" ht="16" x14ac:dyDescent="0.2"/>
    <row r="51" spans="1:8" s="92" customFormat="1" ht="16" x14ac:dyDescent="0.2">
      <c r="A51" s="94" t="s">
        <v>702</v>
      </c>
      <c r="B51" s="94" t="s">
        <v>815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816</v>
      </c>
    </row>
    <row r="53" spans="1:8" s="92" customFormat="1" ht="16" x14ac:dyDescent="0.2">
      <c r="A53" s="92" t="s">
        <v>817</v>
      </c>
    </row>
    <row r="54" spans="1:8" s="92" customFormat="1" ht="16" x14ac:dyDescent="0.2">
      <c r="A54" s="92" t="s">
        <v>818</v>
      </c>
    </row>
    <row r="55" spans="1:8" s="92" customFormat="1" ht="16" x14ac:dyDescent="0.2">
      <c r="A55" s="92" t="s">
        <v>819</v>
      </c>
    </row>
    <row r="56" spans="1:8" s="92" customFormat="1" ht="16" x14ac:dyDescent="0.2">
      <c r="A56" s="92" t="s">
        <v>820</v>
      </c>
    </row>
    <row r="57" spans="1:8" s="92" customFormat="1" ht="16" x14ac:dyDescent="0.2">
      <c r="A57" s="92" t="s">
        <v>821</v>
      </c>
    </row>
    <row r="58" spans="1:8" s="92" customFormat="1" ht="16" x14ac:dyDescent="0.2">
      <c r="A58" s="92" t="s">
        <v>822</v>
      </c>
    </row>
    <row r="59" spans="1:8" s="92" customFormat="1" ht="16" x14ac:dyDescent="0.2"/>
    <row r="60" spans="1:8" s="92" customFormat="1" ht="16" x14ac:dyDescent="0.2">
      <c r="A60" s="93" t="s">
        <v>823</v>
      </c>
    </row>
    <row r="61" spans="1:8" s="92" customFormat="1" ht="17" thickBot="1" x14ac:dyDescent="0.25"/>
    <row r="62" spans="1:8" s="92" customFormat="1" ht="16" x14ac:dyDescent="0.2">
      <c r="A62" s="103" t="s">
        <v>2588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2589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824</v>
      </c>
    </row>
    <row r="66" spans="1:8" s="92" customFormat="1" ht="16" x14ac:dyDescent="0.2"/>
    <row r="67" spans="1:8" s="92" customFormat="1" ht="16" x14ac:dyDescent="0.2">
      <c r="A67" s="135" t="s">
        <v>825</v>
      </c>
    </row>
    <row r="68" spans="1:8" s="92" customFormat="1" ht="16" x14ac:dyDescent="0.2">
      <c r="H68" s="93" t="s">
        <v>826</v>
      </c>
    </row>
    <row r="69" spans="1:8" s="92" customFormat="1" ht="16" x14ac:dyDescent="0.2">
      <c r="A69" s="92" t="s">
        <v>827</v>
      </c>
    </row>
    <row r="70" spans="1:8" s="92" customFormat="1" ht="16" x14ac:dyDescent="0.2">
      <c r="A70" s="110" t="s">
        <v>564</v>
      </c>
      <c r="B70" s="110" t="s">
        <v>828</v>
      </c>
      <c r="C70" s="110" t="s">
        <v>829</v>
      </c>
      <c r="E70" s="92" t="s">
        <v>830</v>
      </c>
    </row>
    <row r="71" spans="1:8" s="92" customFormat="1" ht="16" x14ac:dyDescent="0.2">
      <c r="A71" s="105">
        <v>0</v>
      </c>
      <c r="B71" s="459">
        <v>0</v>
      </c>
      <c r="C71" s="720" t="s">
        <v>831</v>
      </c>
      <c r="E71" s="92" t="s">
        <v>832</v>
      </c>
    </row>
    <row r="72" spans="1:8" s="92" customFormat="1" ht="16" x14ac:dyDescent="0.2">
      <c r="A72" s="105" t="s">
        <v>566</v>
      </c>
      <c r="B72" s="459">
        <v>0</v>
      </c>
      <c r="C72" s="721"/>
      <c r="E72" s="92" t="s">
        <v>833</v>
      </c>
    </row>
    <row r="73" spans="1:8" s="92" customFormat="1" ht="16" x14ac:dyDescent="0.2">
      <c r="A73" s="105" t="s">
        <v>566</v>
      </c>
      <c r="B73" s="459">
        <v>0</v>
      </c>
      <c r="C73" s="721"/>
      <c r="E73" s="92" t="s">
        <v>834</v>
      </c>
    </row>
    <row r="74" spans="1:8" s="92" customFormat="1" ht="17" thickBot="1" x14ac:dyDescent="0.25">
      <c r="A74" s="105">
        <v>7</v>
      </c>
      <c r="B74" s="459">
        <v>0</v>
      </c>
      <c r="C74" s="722"/>
    </row>
    <row r="75" spans="1:8" s="92" customFormat="1" ht="17" thickBot="1" x14ac:dyDescent="0.25">
      <c r="A75" s="105">
        <v>8</v>
      </c>
      <c r="B75" s="464">
        <v>200000</v>
      </c>
      <c r="C75" s="723" t="s">
        <v>835</v>
      </c>
      <c r="E75" s="92" t="s">
        <v>836</v>
      </c>
    </row>
    <row r="76" spans="1:8" s="92" customFormat="1" ht="16" x14ac:dyDescent="0.2">
      <c r="A76" s="105">
        <v>9</v>
      </c>
      <c r="B76" s="460">
        <v>200000</v>
      </c>
      <c r="C76" s="724"/>
      <c r="E76" s="92" t="s">
        <v>837</v>
      </c>
    </row>
    <row r="77" spans="1:8" s="92" customFormat="1" ht="16" x14ac:dyDescent="0.2">
      <c r="A77" s="105" t="s">
        <v>566</v>
      </c>
      <c r="B77" s="460">
        <v>200000</v>
      </c>
      <c r="C77" s="724"/>
      <c r="E77" s="92" t="s">
        <v>838</v>
      </c>
    </row>
    <row r="78" spans="1:8" s="92" customFormat="1" ht="17" thickBot="1" x14ac:dyDescent="0.25">
      <c r="A78" s="105" t="s">
        <v>566</v>
      </c>
      <c r="B78" s="460">
        <v>200000</v>
      </c>
      <c r="C78" s="724"/>
    </row>
    <row r="79" spans="1:8" s="92" customFormat="1" ht="17" thickBot="1" x14ac:dyDescent="0.25">
      <c r="A79" s="105">
        <v>37</v>
      </c>
      <c r="B79" s="460">
        <v>200000</v>
      </c>
      <c r="C79" s="725"/>
      <c r="E79" s="95" t="s">
        <v>839</v>
      </c>
      <c r="F79" s="583"/>
      <c r="G79" s="583"/>
      <c r="H79" s="584"/>
    </row>
    <row r="80" spans="1:8" s="92" customFormat="1" ht="17" thickBot="1" x14ac:dyDescent="0.25">
      <c r="E80" s="497" t="s">
        <v>840</v>
      </c>
      <c r="F80" s="585"/>
      <c r="G80" s="585"/>
      <c r="H80" s="586"/>
    </row>
    <row r="81" spans="1:8" s="92" customFormat="1" ht="16" x14ac:dyDescent="0.2">
      <c r="B81" s="588" t="s">
        <v>771</v>
      </c>
      <c r="C81" s="142" t="s">
        <v>772</v>
      </c>
    </row>
    <row r="82" spans="1:8" s="92" customFormat="1" ht="16" x14ac:dyDescent="0.2">
      <c r="B82" s="588" t="s">
        <v>841</v>
      </c>
      <c r="C82" s="142" t="s">
        <v>841</v>
      </c>
      <c r="F82" s="92" t="s">
        <v>842</v>
      </c>
    </row>
    <row r="83" spans="1:8" s="92" customFormat="1" ht="16" x14ac:dyDescent="0.2">
      <c r="B83" s="589" t="s">
        <v>843</v>
      </c>
      <c r="C83" s="587" t="s">
        <v>844</v>
      </c>
      <c r="F83" s="92" t="s">
        <v>845</v>
      </c>
    </row>
    <row r="84" spans="1:8" s="92" customFormat="1" ht="16" x14ac:dyDescent="0.2">
      <c r="B84" s="461">
        <v>0.05</v>
      </c>
      <c r="C84" s="461">
        <v>0.05</v>
      </c>
      <c r="D84" s="92" t="s">
        <v>87</v>
      </c>
      <c r="F84" s="92" t="s">
        <v>846</v>
      </c>
    </row>
    <row r="85" spans="1:8" s="92" customFormat="1" ht="16" x14ac:dyDescent="0.2">
      <c r="B85" s="462">
        <v>7</v>
      </c>
      <c r="C85" s="462">
        <v>30</v>
      </c>
      <c r="D85" s="92" t="s">
        <v>89</v>
      </c>
      <c r="F85" s="92" t="s">
        <v>847</v>
      </c>
    </row>
    <row r="86" spans="1:8" s="92" customFormat="1" ht="16" x14ac:dyDescent="0.2">
      <c r="B86" s="463">
        <v>0</v>
      </c>
      <c r="C86" s="463">
        <v>200000</v>
      </c>
      <c r="D86" s="92" t="s">
        <v>91</v>
      </c>
      <c r="F86" s="92" t="s">
        <v>848</v>
      </c>
    </row>
    <row r="87" spans="1:8" s="92" customFormat="1" ht="16" x14ac:dyDescent="0.2">
      <c r="B87" s="467">
        <f>PV(B84,B85,B86,B88,B89)</f>
        <v>-2184982.788629049</v>
      </c>
      <c r="C87" s="460">
        <f>PV(C84,C85,C86,C88,C89)</f>
        <v>-3074490.2053765673</v>
      </c>
      <c r="D87" s="92" t="s">
        <v>281</v>
      </c>
      <c r="F87" s="92" t="s">
        <v>849</v>
      </c>
    </row>
    <row r="88" spans="1:8" s="92" customFormat="1" ht="16" x14ac:dyDescent="0.2">
      <c r="B88" s="460">
        <f>-C87</f>
        <v>3074490.2053765673</v>
      </c>
      <c r="C88" s="462">
        <v>0</v>
      </c>
      <c r="D88" s="92" t="s">
        <v>105</v>
      </c>
      <c r="F88" s="92" t="s">
        <v>850</v>
      </c>
    </row>
    <row r="89" spans="1:8" s="92" customFormat="1" ht="16" x14ac:dyDescent="0.2">
      <c r="B89" s="462">
        <v>0</v>
      </c>
      <c r="C89" s="462">
        <v>0</v>
      </c>
      <c r="D89" s="92" t="s">
        <v>328</v>
      </c>
      <c r="F89" s="92" t="s">
        <v>851</v>
      </c>
    </row>
    <row r="90" spans="1:8" s="92" customFormat="1" ht="16" x14ac:dyDescent="0.2"/>
    <row r="91" spans="1:8" s="92" customFormat="1" ht="16" x14ac:dyDescent="0.2">
      <c r="A91" s="92" t="s">
        <v>852</v>
      </c>
    </row>
    <row r="92" spans="1:8" s="92" customFormat="1" ht="16" x14ac:dyDescent="0.2">
      <c r="A92" s="92" t="s">
        <v>853</v>
      </c>
    </row>
    <row r="93" spans="1:8" s="92" customFormat="1" ht="16" x14ac:dyDescent="0.2">
      <c r="A93" s="92" t="s">
        <v>854</v>
      </c>
    </row>
    <row r="94" spans="1:8" s="92" customFormat="1" ht="16" x14ac:dyDescent="0.2">
      <c r="A94" s="92" t="s">
        <v>855</v>
      </c>
    </row>
    <row r="95" spans="1:8" s="92" customFormat="1" ht="16" x14ac:dyDescent="0.2"/>
    <row r="96" spans="1:8" s="92" customFormat="1" ht="16" x14ac:dyDescent="0.2">
      <c r="A96" s="166" t="s">
        <v>856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857</v>
      </c>
    </row>
    <row r="98" spans="1:8" s="92" customFormat="1" ht="16" x14ac:dyDescent="0.2">
      <c r="A98" s="92" t="s">
        <v>858</v>
      </c>
    </row>
    <row r="99" spans="1:8" s="92" customFormat="1" ht="16" x14ac:dyDescent="0.2">
      <c r="A99" s="92" t="s">
        <v>859</v>
      </c>
    </row>
    <row r="100" spans="1:8" s="92" customFormat="1" ht="16" x14ac:dyDescent="0.2">
      <c r="A100" s="92" t="s">
        <v>860</v>
      </c>
    </row>
    <row r="101" spans="1:8" s="92" customFormat="1" ht="16" x14ac:dyDescent="0.2"/>
    <row r="102" spans="1:8" s="92" customFormat="1" ht="16" x14ac:dyDescent="0.2">
      <c r="A102" s="110" t="s">
        <v>861</v>
      </c>
      <c r="B102" s="110" t="s">
        <v>862</v>
      </c>
      <c r="D102" s="92" t="s">
        <v>863</v>
      </c>
    </row>
    <row r="103" spans="1:8" s="92" customFormat="1" ht="16" x14ac:dyDescent="0.2">
      <c r="A103" s="105">
        <v>0</v>
      </c>
      <c r="B103" s="115">
        <v>0</v>
      </c>
      <c r="D103" s="92" t="s">
        <v>864</v>
      </c>
    </row>
    <row r="104" spans="1:8" s="92" customFormat="1" ht="16" x14ac:dyDescent="0.2">
      <c r="A104" s="105">
        <v>1</v>
      </c>
      <c r="B104" s="115">
        <v>0</v>
      </c>
      <c r="D104" s="92" t="s">
        <v>865</v>
      </c>
    </row>
    <row r="105" spans="1:8" s="92" customFormat="1" ht="16" x14ac:dyDescent="0.2">
      <c r="A105" s="105">
        <v>2</v>
      </c>
      <c r="B105" s="115">
        <v>0</v>
      </c>
      <c r="D105" s="92" t="s">
        <v>866</v>
      </c>
    </row>
    <row r="106" spans="1:8" s="92" customFormat="1" ht="16" x14ac:dyDescent="0.2">
      <c r="A106" s="105" t="s">
        <v>566</v>
      </c>
      <c r="B106" s="115">
        <v>0</v>
      </c>
    </row>
    <row r="107" spans="1:8" s="92" customFormat="1" ht="16" x14ac:dyDescent="0.2">
      <c r="A107" s="105" t="s">
        <v>566</v>
      </c>
      <c r="B107" s="115">
        <v>0</v>
      </c>
      <c r="D107" s="115" t="s">
        <v>867</v>
      </c>
      <c r="E107" s="142" t="s">
        <v>868</v>
      </c>
    </row>
    <row r="108" spans="1:8" s="92" customFormat="1" ht="16" x14ac:dyDescent="0.2">
      <c r="A108" s="105">
        <v>23</v>
      </c>
      <c r="B108" s="115">
        <v>0</v>
      </c>
      <c r="D108" s="591" t="s">
        <v>771</v>
      </c>
      <c r="E108" s="587" t="s">
        <v>772</v>
      </c>
      <c r="H108" s="92" t="s">
        <v>869</v>
      </c>
    </row>
    <row r="109" spans="1:8" s="92" customFormat="1" ht="16" x14ac:dyDescent="0.2">
      <c r="A109" s="105">
        <v>24</v>
      </c>
      <c r="B109" s="460">
        <v>50000</v>
      </c>
      <c r="C109" s="590" t="s">
        <v>2590</v>
      </c>
      <c r="D109" s="466">
        <v>7.0000000000000001E-3</v>
      </c>
      <c r="E109" s="466">
        <v>7.0000000000000001E-3</v>
      </c>
      <c r="F109" s="92" t="s">
        <v>87</v>
      </c>
      <c r="H109" s="92" t="s">
        <v>870</v>
      </c>
    </row>
    <row r="110" spans="1:8" s="92" customFormat="1" ht="16" x14ac:dyDescent="0.2">
      <c r="A110" s="105" t="s">
        <v>566</v>
      </c>
      <c r="B110" s="113">
        <f>B109</f>
        <v>50000</v>
      </c>
      <c r="C110" s="590" t="s">
        <v>2591</v>
      </c>
      <c r="D110" s="462">
        <v>23</v>
      </c>
      <c r="E110" s="462">
        <f>12*12</f>
        <v>144</v>
      </c>
      <c r="F110" s="92" t="s">
        <v>89</v>
      </c>
      <c r="H110" s="468">
        <f>-D112</f>
        <v>3855888.5862081484</v>
      </c>
    </row>
    <row r="111" spans="1:8" s="92" customFormat="1" ht="16" x14ac:dyDescent="0.2">
      <c r="A111" s="105" t="s">
        <v>566</v>
      </c>
      <c r="B111" s="113">
        <f>B110</f>
        <v>50000</v>
      </c>
      <c r="C111" s="590" t="s">
        <v>2592</v>
      </c>
      <c r="D111" s="463">
        <v>0</v>
      </c>
      <c r="E111" s="463">
        <v>50000</v>
      </c>
      <c r="F111" s="92" t="s">
        <v>91</v>
      </c>
    </row>
    <row r="112" spans="1:8" s="92" customFormat="1" ht="16" x14ac:dyDescent="0.2">
      <c r="A112" s="465">
        <v>167</v>
      </c>
      <c r="B112" s="113">
        <f>B111</f>
        <v>50000</v>
      </c>
      <c r="C112" s="590" t="s">
        <v>2593</v>
      </c>
      <c r="D112" s="467">
        <f>PV(D109,D110,D111,D113,)</f>
        <v>-3855888.5862081484</v>
      </c>
      <c r="E112" s="460">
        <f>PV(E109,E110,E111,E113,)</f>
        <v>-4526914.5772060025</v>
      </c>
      <c r="F112" s="92" t="s">
        <v>281</v>
      </c>
    </row>
    <row r="113" spans="1:11" s="92" customFormat="1" ht="16" x14ac:dyDescent="0.2">
      <c r="A113" s="465"/>
      <c r="B113" s="465"/>
      <c r="D113" s="460">
        <f>-E112</f>
        <v>4526914.5772060025</v>
      </c>
      <c r="E113" s="462">
        <v>0</v>
      </c>
      <c r="F113" s="92" t="s">
        <v>105</v>
      </c>
    </row>
    <row r="114" spans="1:11" s="92" customFormat="1" ht="16" x14ac:dyDescent="0.2">
      <c r="D114" s="462">
        <v>0</v>
      </c>
      <c r="E114" s="462">
        <v>0</v>
      </c>
      <c r="F114" s="92" t="s">
        <v>328</v>
      </c>
    </row>
    <row r="115" spans="1:11" s="92" customFormat="1" ht="16" x14ac:dyDescent="0.2">
      <c r="J115" s="105" t="s">
        <v>715</v>
      </c>
      <c r="K115" s="105" t="s">
        <v>715</v>
      </c>
    </row>
    <row r="116" spans="1:11" s="92" customFormat="1" ht="16" x14ac:dyDescent="0.2">
      <c r="A116" s="94" t="s">
        <v>871</v>
      </c>
      <c r="B116" s="94" t="s">
        <v>3096</v>
      </c>
      <c r="C116" s="94"/>
      <c r="D116" s="94"/>
      <c r="E116" s="94"/>
      <c r="F116" s="94"/>
      <c r="G116" s="94"/>
      <c r="H116" s="94"/>
      <c r="I116" s="110" t="s">
        <v>872</v>
      </c>
      <c r="J116" s="110" t="s">
        <v>873</v>
      </c>
      <c r="K116" s="110" t="s">
        <v>874</v>
      </c>
    </row>
    <row r="117" spans="1:11" s="92" customFormat="1" ht="16" x14ac:dyDescent="0.2">
      <c r="A117" s="92" t="s">
        <v>875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876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877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2594</v>
      </c>
      <c r="I120" s="105" t="s">
        <v>566</v>
      </c>
      <c r="J120" s="105">
        <v>0</v>
      </c>
      <c r="K120" s="105">
        <v>0</v>
      </c>
    </row>
    <row r="121" spans="1:11" s="92" customFormat="1" ht="16" x14ac:dyDescent="0.2">
      <c r="A121" s="92" t="s">
        <v>878</v>
      </c>
      <c r="I121" s="105" t="s">
        <v>566</v>
      </c>
      <c r="J121" s="105">
        <v>0</v>
      </c>
      <c r="K121" s="105">
        <v>0</v>
      </c>
    </row>
    <row r="122" spans="1:11" s="92" customFormat="1" ht="16" x14ac:dyDescent="0.2">
      <c r="A122" s="92" t="s">
        <v>879</v>
      </c>
      <c r="I122" s="105" t="s">
        <v>566</v>
      </c>
      <c r="J122" s="105">
        <v>0</v>
      </c>
      <c r="K122" s="105">
        <v>0</v>
      </c>
    </row>
    <row r="123" spans="1:11" s="92" customFormat="1" ht="16" x14ac:dyDescent="0.2">
      <c r="I123" s="105"/>
      <c r="J123" s="105"/>
      <c r="K123" s="105"/>
    </row>
    <row r="124" spans="1:11" s="92" customFormat="1" ht="16" x14ac:dyDescent="0.2">
      <c r="E124" s="105" t="s">
        <v>3108</v>
      </c>
      <c r="I124" s="105"/>
      <c r="J124" s="105"/>
      <c r="K124" s="105"/>
    </row>
    <row r="125" spans="1:11" s="92" customFormat="1" ht="16" x14ac:dyDescent="0.2">
      <c r="E125" s="105">
        <v>50</v>
      </c>
      <c r="F125" s="105">
        <v>1</v>
      </c>
      <c r="G125" s="105">
        <v>0</v>
      </c>
      <c r="I125" s="105"/>
      <c r="J125" s="105"/>
      <c r="K125" s="105"/>
    </row>
    <row r="126" spans="1:11" s="92" customFormat="1" ht="16" x14ac:dyDescent="0.2">
      <c r="A126" s="92" t="s">
        <v>3103</v>
      </c>
      <c r="G126" s="105"/>
      <c r="I126" s="105"/>
      <c r="J126" s="105"/>
      <c r="K126" s="105"/>
    </row>
    <row r="127" spans="1:11" s="92" customFormat="1" ht="16" x14ac:dyDescent="0.2">
      <c r="G127" s="105"/>
      <c r="I127" s="105"/>
      <c r="J127" s="105"/>
      <c r="K127" s="105"/>
    </row>
    <row r="128" spans="1:11" s="92" customFormat="1" ht="16" x14ac:dyDescent="0.2">
      <c r="C128" s="92" t="s">
        <v>3109</v>
      </c>
      <c r="E128" s="729" t="s">
        <v>902</v>
      </c>
      <c r="F128" s="729"/>
      <c r="G128" s="105"/>
      <c r="I128" s="105"/>
      <c r="J128" s="105"/>
      <c r="K128" s="105"/>
    </row>
    <row r="129" spans="1:11" s="92" customFormat="1" ht="16" x14ac:dyDescent="0.2">
      <c r="D129" s="92" t="s">
        <v>3110</v>
      </c>
      <c r="E129" s="105"/>
      <c r="F129" s="105" t="s">
        <v>3104</v>
      </c>
      <c r="G129" s="105"/>
      <c r="I129" s="105"/>
      <c r="J129" s="105"/>
      <c r="K129" s="105"/>
    </row>
    <row r="130" spans="1:11" s="92" customFormat="1" ht="16" x14ac:dyDescent="0.2">
      <c r="D130" s="92" t="s">
        <v>3111</v>
      </c>
      <c r="E130" s="105"/>
      <c r="F130" s="105" t="s">
        <v>3105</v>
      </c>
      <c r="G130" s="105"/>
      <c r="I130" s="105"/>
      <c r="J130" s="105"/>
      <c r="K130" s="105"/>
    </row>
    <row r="131" spans="1:11" s="92" customFormat="1" ht="16" x14ac:dyDescent="0.2">
      <c r="D131" s="92" t="s">
        <v>3106</v>
      </c>
      <c r="E131" s="108"/>
      <c r="F131" s="105" t="s">
        <v>3106</v>
      </c>
      <c r="G131" s="105"/>
      <c r="I131" s="105"/>
      <c r="J131" s="105"/>
      <c r="K131" s="105"/>
    </row>
    <row r="132" spans="1:11" s="92" customFormat="1" ht="16" x14ac:dyDescent="0.2">
      <c r="G132" s="105"/>
      <c r="I132" s="105"/>
      <c r="J132" s="105"/>
      <c r="K132" s="105"/>
    </row>
    <row r="133" spans="1:11" s="92" customFormat="1" ht="16" x14ac:dyDescent="0.2">
      <c r="E133" s="105" t="s">
        <v>3107</v>
      </c>
      <c r="G133" s="105"/>
      <c r="I133" s="105"/>
      <c r="J133" s="105"/>
      <c r="K133" s="105"/>
    </row>
    <row r="134" spans="1:11" s="92" customFormat="1" ht="16" x14ac:dyDescent="0.2">
      <c r="G134" s="105"/>
      <c r="I134" s="105"/>
      <c r="J134" s="105"/>
      <c r="K134" s="105"/>
    </row>
    <row r="135" spans="1:11" s="92" customFormat="1" ht="16" x14ac:dyDescent="0.2">
      <c r="A135" s="92" t="s">
        <v>3112</v>
      </c>
      <c r="G135" s="105"/>
      <c r="I135" s="105"/>
      <c r="J135" s="105"/>
      <c r="K135" s="105"/>
    </row>
    <row r="136" spans="1:11" s="92" customFormat="1" ht="16" x14ac:dyDescent="0.2">
      <c r="A136" s="92" t="s">
        <v>3113</v>
      </c>
      <c r="G136" s="105"/>
      <c r="I136" s="105"/>
      <c r="J136" s="105"/>
      <c r="K136" s="105"/>
    </row>
    <row r="137" spans="1:11" s="92" customFormat="1" ht="16" x14ac:dyDescent="0.2">
      <c r="A137" s="92" t="s">
        <v>3114</v>
      </c>
      <c r="G137" s="105"/>
      <c r="I137" s="105"/>
      <c r="J137" s="105"/>
      <c r="K137" s="105"/>
    </row>
    <row r="138" spans="1:11" s="92" customFormat="1" ht="16" x14ac:dyDescent="0.2">
      <c r="G138" s="105"/>
      <c r="I138" s="105"/>
      <c r="J138" s="105"/>
      <c r="K138" s="105"/>
    </row>
    <row r="139" spans="1:11" s="92" customFormat="1" ht="16" x14ac:dyDescent="0.2">
      <c r="D139" s="122">
        <v>1E-3</v>
      </c>
      <c r="E139" s="92" t="s">
        <v>87</v>
      </c>
      <c r="G139" s="105"/>
      <c r="I139" s="105"/>
      <c r="J139" s="105"/>
      <c r="K139" s="105"/>
    </row>
    <row r="140" spans="1:11" s="92" customFormat="1" ht="16" x14ac:dyDescent="0.2">
      <c r="D140" s="105">
        <v>12</v>
      </c>
      <c r="E140" s="92" t="s">
        <v>89</v>
      </c>
      <c r="G140" s="105"/>
      <c r="I140" s="105"/>
      <c r="J140" s="105"/>
      <c r="K140" s="105"/>
    </row>
    <row r="141" spans="1:11" s="92" customFormat="1" ht="16" x14ac:dyDescent="0.2">
      <c r="D141" s="105">
        <v>500</v>
      </c>
      <c r="E141" s="92" t="s">
        <v>91</v>
      </c>
      <c r="G141" s="105"/>
      <c r="I141" s="105"/>
      <c r="J141" s="105"/>
      <c r="K141" s="105"/>
    </row>
    <row r="142" spans="1:11" s="92" customFormat="1" ht="16" x14ac:dyDescent="0.2">
      <c r="D142" s="670">
        <f>PV(D139,D140,D141,D143,D144)</f>
        <v>-5967.142500996717</v>
      </c>
      <c r="E142" s="92" t="s">
        <v>281</v>
      </c>
      <c r="F142" s="92" t="s">
        <v>3117</v>
      </c>
      <c r="G142" s="105"/>
      <c r="I142" s="105"/>
      <c r="J142" s="105"/>
      <c r="K142" s="105"/>
    </row>
    <row r="143" spans="1:11" s="92" customFormat="1" ht="16" x14ac:dyDescent="0.2">
      <c r="D143" s="105">
        <v>0</v>
      </c>
      <c r="E143" s="92" t="s">
        <v>105</v>
      </c>
      <c r="F143" s="92" t="s">
        <v>3115</v>
      </c>
      <c r="G143" s="105"/>
      <c r="I143" s="105"/>
      <c r="J143" s="105"/>
      <c r="K143" s="105"/>
    </row>
    <row r="144" spans="1:11" s="92" customFormat="1" ht="16" x14ac:dyDescent="0.2">
      <c r="D144" s="105">
        <v>1</v>
      </c>
      <c r="E144" s="92" t="s">
        <v>328</v>
      </c>
      <c r="F144" s="92" t="s">
        <v>3116</v>
      </c>
      <c r="G144" s="105"/>
      <c r="I144" s="105"/>
      <c r="J144" s="105"/>
      <c r="K144" s="105"/>
    </row>
    <row r="145" spans="1:11" s="92" customFormat="1" ht="16" x14ac:dyDescent="0.2">
      <c r="G145" s="105"/>
      <c r="I145" s="105"/>
      <c r="J145" s="105"/>
      <c r="K145" s="105"/>
    </row>
    <row r="146" spans="1:11" s="92" customFormat="1" ht="16" x14ac:dyDescent="0.2">
      <c r="A146" s="92" t="s">
        <v>3118</v>
      </c>
      <c r="G146" s="105"/>
      <c r="I146" s="670">
        <f>-D142</f>
        <v>5967.142500996717</v>
      </c>
      <c r="J146" s="105"/>
      <c r="K146" s="105"/>
    </row>
    <row r="147" spans="1:11" s="92" customFormat="1" ht="16" x14ac:dyDescent="0.2">
      <c r="F147" s="92" t="s">
        <v>3119</v>
      </c>
      <c r="G147" s="105"/>
      <c r="I147" s="105">
        <v>5000</v>
      </c>
      <c r="J147" s="105"/>
      <c r="K147" s="105"/>
    </row>
    <row r="148" spans="1:11" s="92" customFormat="1" ht="16" x14ac:dyDescent="0.2">
      <c r="F148" s="92" t="s">
        <v>3120</v>
      </c>
      <c r="G148" s="105"/>
      <c r="I148" s="670">
        <f>I146+I147</f>
        <v>10967.142500996717</v>
      </c>
      <c r="J148" s="105"/>
      <c r="K148" s="105"/>
    </row>
    <row r="149" spans="1:11" s="92" customFormat="1" ht="16" x14ac:dyDescent="0.2">
      <c r="E149" s="729"/>
      <c r="F149" s="729"/>
      <c r="I149" s="105"/>
      <c r="J149" s="105"/>
      <c r="K149" s="105"/>
    </row>
    <row r="150" spans="1:11" s="92" customFormat="1" ht="16" x14ac:dyDescent="0.2">
      <c r="A150" s="92" t="s">
        <v>3121</v>
      </c>
      <c r="E150" s="105"/>
      <c r="F150" s="105"/>
      <c r="I150" s="105"/>
      <c r="J150" s="105"/>
      <c r="K150" s="105"/>
    </row>
    <row r="151" spans="1:11" s="92" customFormat="1" ht="16" x14ac:dyDescent="0.2">
      <c r="A151" s="92" t="s">
        <v>3122</v>
      </c>
      <c r="E151" s="105"/>
      <c r="F151" s="105"/>
      <c r="I151" s="105"/>
      <c r="J151" s="105"/>
      <c r="K151" s="105"/>
    </row>
    <row r="152" spans="1:11" s="92" customFormat="1" ht="16" x14ac:dyDescent="0.2">
      <c r="D152" s="122">
        <v>1E-3</v>
      </c>
      <c r="E152" s="92" t="s">
        <v>87</v>
      </c>
      <c r="F152" s="141" t="s">
        <v>3123</v>
      </c>
      <c r="I152" s="105"/>
      <c r="J152" s="105"/>
      <c r="K152" s="105"/>
    </row>
    <row r="153" spans="1:11" s="92" customFormat="1" ht="16" x14ac:dyDescent="0.2">
      <c r="D153" s="105">
        <v>50</v>
      </c>
      <c r="E153" s="92" t="s">
        <v>89</v>
      </c>
      <c r="F153" s="141" t="s">
        <v>3124</v>
      </c>
      <c r="I153" s="105"/>
      <c r="J153" s="105"/>
      <c r="K153" s="105"/>
    </row>
    <row r="154" spans="1:11" s="92" customFormat="1" ht="16" x14ac:dyDescent="0.2">
      <c r="D154" s="106">
        <f>PMT(D152,D153,D155,D156,D157)</f>
        <v>-214.01460361805118</v>
      </c>
      <c r="E154" s="92" t="s">
        <v>91</v>
      </c>
      <c r="F154" s="141" t="s">
        <v>3128</v>
      </c>
      <c r="I154" s="105"/>
      <c r="J154" s="105"/>
      <c r="K154" s="105"/>
    </row>
    <row r="155" spans="1:11" s="92" customFormat="1" ht="16" x14ac:dyDescent="0.2">
      <c r="D155" s="670">
        <v>0</v>
      </c>
      <c r="E155" s="92" t="s">
        <v>281</v>
      </c>
      <c r="F155" s="141" t="s">
        <v>3125</v>
      </c>
      <c r="I155" s="105"/>
      <c r="J155" s="105"/>
      <c r="K155" s="105"/>
    </row>
    <row r="156" spans="1:11" s="92" customFormat="1" ht="16" x14ac:dyDescent="0.2">
      <c r="D156" s="670">
        <f>I148</f>
        <v>10967.142500996717</v>
      </c>
      <c r="E156" s="92" t="s">
        <v>105</v>
      </c>
      <c r="F156" s="141" t="s">
        <v>3126</v>
      </c>
      <c r="I156" s="105"/>
      <c r="J156" s="105"/>
      <c r="K156" s="105"/>
    </row>
    <row r="157" spans="1:11" s="92" customFormat="1" ht="16" x14ac:dyDescent="0.2">
      <c r="D157" s="105">
        <v>0</v>
      </c>
      <c r="E157" s="92" t="s">
        <v>328</v>
      </c>
      <c r="F157" s="141" t="s">
        <v>3127</v>
      </c>
      <c r="I157" s="105"/>
      <c r="J157" s="105"/>
      <c r="K157" s="105"/>
    </row>
    <row r="158" spans="1:11" s="92" customFormat="1" ht="16" x14ac:dyDescent="0.2">
      <c r="E158" s="105"/>
      <c r="F158" s="105"/>
      <c r="I158" s="105"/>
      <c r="J158" s="105"/>
      <c r="K158" s="105"/>
    </row>
    <row r="159" spans="1:11" s="92" customFormat="1" ht="16" x14ac:dyDescent="0.2">
      <c r="A159" s="93" t="s">
        <v>3129</v>
      </c>
      <c r="E159" s="105"/>
      <c r="F159" s="105"/>
      <c r="I159" s="105"/>
      <c r="J159" s="105"/>
      <c r="K159" s="105"/>
    </row>
    <row r="160" spans="1:11" s="92" customFormat="1" ht="16" x14ac:dyDescent="0.2">
      <c r="E160" s="105"/>
      <c r="F160" s="105"/>
      <c r="I160" s="105"/>
      <c r="J160" s="105"/>
      <c r="K160" s="105"/>
    </row>
    <row r="161" spans="1:11" s="92" customFormat="1" ht="16" x14ac:dyDescent="0.2">
      <c r="A161" s="671" t="s">
        <v>3130</v>
      </c>
      <c r="B161" s="671"/>
      <c r="C161" s="671"/>
      <c r="D161" s="671"/>
      <c r="E161" s="672"/>
      <c r="F161" s="672"/>
      <c r="G161" s="671"/>
      <c r="H161" s="671"/>
      <c r="I161" s="105"/>
      <c r="J161" s="105"/>
      <c r="K161" s="105"/>
    </row>
    <row r="162" spans="1:11" s="92" customFormat="1" ht="16" x14ac:dyDescent="0.2">
      <c r="A162" s="92" t="s">
        <v>3131</v>
      </c>
      <c r="E162" s="105"/>
      <c r="F162" s="105"/>
      <c r="I162" s="105"/>
      <c r="J162" s="105"/>
      <c r="K162" s="105"/>
    </row>
    <row r="163" spans="1:11" s="92" customFormat="1" ht="16" x14ac:dyDescent="0.2">
      <c r="A163" s="92" t="s">
        <v>3132</v>
      </c>
      <c r="E163" s="105"/>
      <c r="F163" s="105"/>
      <c r="I163" s="105"/>
      <c r="J163" s="105"/>
      <c r="K163" s="105"/>
    </row>
    <row r="164" spans="1:11" s="92" customFormat="1" ht="16" x14ac:dyDescent="0.2">
      <c r="A164" s="92" t="s">
        <v>3133</v>
      </c>
      <c r="E164" s="105"/>
      <c r="F164" s="105"/>
      <c r="I164" s="105"/>
      <c r="J164" s="105"/>
      <c r="K164" s="105"/>
    </row>
    <row r="165" spans="1:11" s="92" customFormat="1" ht="16" x14ac:dyDescent="0.2">
      <c r="A165" s="92" t="s">
        <v>3134</v>
      </c>
      <c r="E165" s="105"/>
      <c r="F165" s="105"/>
      <c r="I165" s="105"/>
      <c r="J165" s="105"/>
      <c r="K165" s="105"/>
    </row>
    <row r="166" spans="1:11" s="92" customFormat="1" ht="17" thickBot="1" x14ac:dyDescent="0.25">
      <c r="E166" s="105"/>
      <c r="F166" s="105"/>
      <c r="I166" s="105"/>
      <c r="J166" s="105"/>
      <c r="K166" s="105"/>
    </row>
    <row r="167" spans="1:11" s="92" customFormat="1" ht="16" x14ac:dyDescent="0.2">
      <c r="B167" s="103"/>
      <c r="C167" s="96"/>
      <c r="D167" s="96"/>
      <c r="E167" s="476"/>
      <c r="F167" s="476" t="s">
        <v>3135</v>
      </c>
      <c r="G167" s="97"/>
      <c r="I167" s="105"/>
      <c r="J167" s="105"/>
      <c r="K167" s="105"/>
    </row>
    <row r="168" spans="1:11" s="92" customFormat="1" ht="16" x14ac:dyDescent="0.2">
      <c r="B168" s="98" t="s">
        <v>3143</v>
      </c>
      <c r="E168" s="105"/>
      <c r="F168" s="110" t="s">
        <v>3136</v>
      </c>
      <c r="G168" s="99"/>
      <c r="I168" s="105"/>
      <c r="J168" s="105"/>
      <c r="K168" s="105"/>
    </row>
    <row r="169" spans="1:11" s="92" customFormat="1" ht="16" x14ac:dyDescent="0.2">
      <c r="B169" s="98"/>
      <c r="E169" s="105"/>
      <c r="F169" s="105" t="s">
        <v>266</v>
      </c>
      <c r="G169" s="99" t="s">
        <v>87</v>
      </c>
      <c r="I169" s="105"/>
      <c r="J169" s="105"/>
      <c r="K169" s="105"/>
    </row>
    <row r="170" spans="1:11" s="92" customFormat="1" ht="16" x14ac:dyDescent="0.2">
      <c r="B170" s="98" t="s">
        <v>3144</v>
      </c>
      <c r="E170" s="105"/>
      <c r="F170" s="105" t="s">
        <v>3137</v>
      </c>
      <c r="G170" s="99" t="s">
        <v>89</v>
      </c>
      <c r="I170" s="105"/>
      <c r="J170" s="105"/>
      <c r="K170" s="105"/>
    </row>
    <row r="171" spans="1:11" s="92" customFormat="1" ht="16" x14ac:dyDescent="0.2">
      <c r="B171" s="98" t="s">
        <v>3141</v>
      </c>
      <c r="E171" s="105"/>
      <c r="F171" s="105" t="s">
        <v>3138</v>
      </c>
      <c r="G171" s="99" t="s">
        <v>91</v>
      </c>
      <c r="I171" s="105"/>
      <c r="J171" s="105"/>
      <c r="K171" s="105"/>
    </row>
    <row r="172" spans="1:11" s="92" customFormat="1" ht="16" x14ac:dyDescent="0.2">
      <c r="B172" s="98" t="s">
        <v>3142</v>
      </c>
      <c r="E172" s="105"/>
      <c r="F172" s="142" t="s">
        <v>3139</v>
      </c>
      <c r="G172" s="99" t="s">
        <v>281</v>
      </c>
      <c r="I172" s="105"/>
      <c r="J172" s="105"/>
      <c r="K172" s="105"/>
    </row>
    <row r="173" spans="1:11" s="92" customFormat="1" ht="16" x14ac:dyDescent="0.2">
      <c r="B173" s="98"/>
      <c r="E173" s="105"/>
      <c r="F173" s="105" t="s">
        <v>3140</v>
      </c>
      <c r="G173" s="99" t="s">
        <v>105</v>
      </c>
      <c r="I173" s="105"/>
      <c r="J173" s="105"/>
      <c r="K173" s="105"/>
    </row>
    <row r="174" spans="1:11" s="92" customFormat="1" ht="16" x14ac:dyDescent="0.2">
      <c r="B174" s="98" t="s">
        <v>3145</v>
      </c>
      <c r="E174" s="105"/>
      <c r="F174" s="105" t="s">
        <v>3136</v>
      </c>
      <c r="G174" s="99" t="s">
        <v>328</v>
      </c>
      <c r="I174" s="105"/>
      <c r="J174" s="105"/>
      <c r="K174" s="105"/>
    </row>
    <row r="175" spans="1:11" s="92" customFormat="1" ht="17" thickBot="1" x14ac:dyDescent="0.25">
      <c r="B175" s="100" t="s">
        <v>3146</v>
      </c>
      <c r="C175" s="101"/>
      <c r="D175" s="101"/>
      <c r="E175" s="477"/>
      <c r="F175" s="477"/>
      <c r="G175" s="102"/>
      <c r="I175" s="105"/>
      <c r="J175" s="105"/>
      <c r="K175" s="105"/>
    </row>
    <row r="176" spans="1:11" s="92" customFormat="1" ht="16" x14ac:dyDescent="0.2">
      <c r="E176" s="105"/>
      <c r="F176" s="105"/>
      <c r="I176" s="105"/>
      <c r="J176" s="105"/>
      <c r="K176" s="105"/>
    </row>
    <row r="177" spans="1:11" s="92" customFormat="1" ht="16" x14ac:dyDescent="0.2">
      <c r="B177" s="93" t="s">
        <v>3149</v>
      </c>
      <c r="E177" s="261" t="s">
        <v>3148</v>
      </c>
      <c r="F177" s="261" t="s">
        <v>3147</v>
      </c>
      <c r="I177" s="105"/>
      <c r="J177" s="105"/>
      <c r="K177" s="105"/>
    </row>
    <row r="178" spans="1:11" s="92" customFormat="1" ht="16" x14ac:dyDescent="0.2">
      <c r="E178" s="122">
        <v>5.0000000000000001E-3</v>
      </c>
      <c r="F178" s="122">
        <v>5.0000000000000001E-3</v>
      </c>
      <c r="G178" s="92" t="s">
        <v>87</v>
      </c>
      <c r="I178" s="105"/>
      <c r="J178" s="105"/>
      <c r="K178" s="105"/>
    </row>
    <row r="179" spans="1:11" s="92" customFormat="1" ht="16" x14ac:dyDescent="0.2">
      <c r="B179" s="93" t="s">
        <v>3150</v>
      </c>
      <c r="E179" s="105">
        <f>4*12</f>
        <v>48</v>
      </c>
      <c r="F179" s="105">
        <f>12*6</f>
        <v>72</v>
      </c>
      <c r="G179" s="92" t="s">
        <v>89</v>
      </c>
      <c r="I179" s="105"/>
      <c r="J179" s="105"/>
      <c r="K179" s="105"/>
    </row>
    <row r="180" spans="1:11" s="92" customFormat="1" ht="16" x14ac:dyDescent="0.2">
      <c r="B180" s="93" t="s">
        <v>3151</v>
      </c>
      <c r="E180" s="631">
        <f>PMT(E178,E179,E181,E182,0)</f>
        <v>-3166.1605647479464</v>
      </c>
      <c r="F180" s="105">
        <v>2000</v>
      </c>
      <c r="G180" s="92" t="s">
        <v>91</v>
      </c>
    </row>
    <row r="181" spans="1:11" s="92" customFormat="1" ht="16" x14ac:dyDescent="0.2">
      <c r="B181" s="93" t="s">
        <v>3152</v>
      </c>
      <c r="E181" s="105">
        <v>0</v>
      </c>
      <c r="F181" s="106">
        <f>PV(F178,F179,F180,F182,F183)</f>
        <v>-121282.42301039494</v>
      </c>
      <c r="G181" s="92" t="s">
        <v>281</v>
      </c>
    </row>
    <row r="182" spans="1:11" s="92" customFormat="1" ht="16" x14ac:dyDescent="0.2">
      <c r="B182" s="93" t="s">
        <v>3153</v>
      </c>
      <c r="E182" s="106">
        <f>-F181+50000</f>
        <v>171282.42301039494</v>
      </c>
      <c r="F182" s="105">
        <v>0</v>
      </c>
      <c r="G182" s="92" t="s">
        <v>105</v>
      </c>
    </row>
    <row r="183" spans="1:11" s="92" customFormat="1" ht="16" x14ac:dyDescent="0.2">
      <c r="B183" s="93" t="s">
        <v>3154</v>
      </c>
      <c r="E183" s="105">
        <v>0</v>
      </c>
      <c r="F183" s="105">
        <v>1</v>
      </c>
      <c r="G183" s="92" t="s">
        <v>328</v>
      </c>
    </row>
    <row r="184" spans="1:11" s="92" customFormat="1" ht="16" x14ac:dyDescent="0.2"/>
    <row r="185" spans="1:11" s="92" customFormat="1" ht="16" x14ac:dyDescent="0.2"/>
    <row r="186" spans="1:11" s="92" customFormat="1" ht="16" x14ac:dyDescent="0.2">
      <c r="A186" s="94" t="s">
        <v>880</v>
      </c>
      <c r="B186" s="94" t="s">
        <v>881</v>
      </c>
      <c r="C186" s="94"/>
      <c r="D186" s="94"/>
      <c r="E186" s="94"/>
      <c r="F186" s="94"/>
      <c r="G186" s="94"/>
      <c r="H186" s="94"/>
    </row>
    <row r="187" spans="1:11" s="92" customFormat="1" ht="16" x14ac:dyDescent="0.2"/>
    <row r="188" spans="1:11" s="92" customFormat="1" ht="16" x14ac:dyDescent="0.2">
      <c r="A188" s="92" t="s">
        <v>882</v>
      </c>
    </row>
    <row r="189" spans="1:11" s="92" customFormat="1" ht="16" x14ac:dyDescent="0.2">
      <c r="A189" s="92" t="s">
        <v>883</v>
      </c>
    </row>
    <row r="190" spans="1:11" s="92" customFormat="1" ht="16" x14ac:dyDescent="0.2">
      <c r="A190" s="92" t="s">
        <v>884</v>
      </c>
    </row>
    <row r="191" spans="1:11" s="92" customFormat="1" ht="16" x14ac:dyDescent="0.2"/>
    <row r="192" spans="1:11" s="92" customFormat="1" ht="16" x14ac:dyDescent="0.2">
      <c r="A192" s="92" t="s">
        <v>885</v>
      </c>
    </row>
    <row r="193" spans="1:9" s="92" customFormat="1" ht="16" x14ac:dyDescent="0.2"/>
    <row r="194" spans="1:9" s="92" customFormat="1" ht="16" x14ac:dyDescent="0.2">
      <c r="A194" s="110" t="s">
        <v>886</v>
      </c>
      <c r="B194" s="110" t="s">
        <v>887</v>
      </c>
      <c r="C194" s="111" t="s">
        <v>888</v>
      </c>
      <c r="F194" s="105" t="s">
        <v>889</v>
      </c>
      <c r="G194" s="105" t="s">
        <v>890</v>
      </c>
      <c r="H194" s="105" t="s">
        <v>891</v>
      </c>
    </row>
    <row r="195" spans="1:9" s="92" customFormat="1" ht="16" x14ac:dyDescent="0.2">
      <c r="A195" s="105">
        <v>0</v>
      </c>
      <c r="B195" s="105"/>
      <c r="C195" s="471"/>
      <c r="F195" s="105" t="s">
        <v>892</v>
      </c>
      <c r="G195" s="105" t="s">
        <v>893</v>
      </c>
      <c r="H195" s="105" t="s">
        <v>894</v>
      </c>
    </row>
    <row r="196" spans="1:9" s="92" customFormat="1" ht="16" x14ac:dyDescent="0.2">
      <c r="A196" s="105">
        <v>1</v>
      </c>
      <c r="B196" s="105"/>
      <c r="C196" s="471"/>
      <c r="F196" s="105" t="s">
        <v>895</v>
      </c>
      <c r="G196" s="105" t="s">
        <v>896</v>
      </c>
      <c r="H196" s="105" t="s">
        <v>897</v>
      </c>
    </row>
    <row r="197" spans="1:9" s="92" customFormat="1" ht="16" x14ac:dyDescent="0.2">
      <c r="A197" s="105">
        <v>2</v>
      </c>
      <c r="B197" s="105"/>
      <c r="C197" s="471"/>
      <c r="E197" s="92" t="s">
        <v>898</v>
      </c>
      <c r="F197" s="110" t="s">
        <v>899</v>
      </c>
      <c r="G197" s="110" t="s">
        <v>900</v>
      </c>
      <c r="H197" s="110" t="s">
        <v>901</v>
      </c>
    </row>
    <row r="198" spans="1:9" s="92" customFormat="1" ht="16" x14ac:dyDescent="0.2">
      <c r="A198" s="105" t="s">
        <v>566</v>
      </c>
      <c r="B198" s="105"/>
      <c r="C198" s="471"/>
      <c r="E198" s="92" t="s">
        <v>902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A199" s="105" t="s">
        <v>566</v>
      </c>
      <c r="B199" s="105"/>
      <c r="C199" s="471"/>
      <c r="E199" s="92" t="s">
        <v>903</v>
      </c>
      <c r="F199" s="105">
        <v>14</v>
      </c>
      <c r="G199" s="105"/>
      <c r="H199" s="105">
        <v>11</v>
      </c>
      <c r="I199" s="92" t="s">
        <v>89</v>
      </c>
    </row>
    <row r="200" spans="1:9" s="92" customFormat="1" ht="16" x14ac:dyDescent="0.2">
      <c r="A200" s="110">
        <v>14</v>
      </c>
      <c r="B200" s="474">
        <v>10000</v>
      </c>
      <c r="C200" s="473">
        <v>800</v>
      </c>
      <c r="E200" s="92" t="s">
        <v>904</v>
      </c>
      <c r="F200" s="105">
        <v>0</v>
      </c>
      <c r="G200" s="105"/>
      <c r="H200" s="460">
        <f>PV(H198,H199,H201,H202,H203)</f>
        <v>-8541.6213817201678</v>
      </c>
      <c r="I200" s="92" t="s">
        <v>281</v>
      </c>
    </row>
    <row r="201" spans="1:9" s="92" customFormat="1" ht="16" x14ac:dyDescent="0.2">
      <c r="A201" s="105">
        <v>15</v>
      </c>
      <c r="B201" s="142"/>
      <c r="C201" s="142">
        <f>C200</f>
        <v>800</v>
      </c>
      <c r="E201" s="92" t="s">
        <v>905</v>
      </c>
      <c r="F201" s="472">
        <f>PMT(F198,F199,F200,F202,F203)</f>
        <v>-1337.2040001294445</v>
      </c>
      <c r="G201" s="105"/>
      <c r="H201" s="105">
        <v>800</v>
      </c>
      <c r="I201" s="92" t="s">
        <v>91</v>
      </c>
    </row>
    <row r="202" spans="1:9" s="92" customFormat="1" ht="16" x14ac:dyDescent="0.2">
      <c r="A202" s="105" t="s">
        <v>566</v>
      </c>
      <c r="B202" s="142"/>
      <c r="C202" s="142">
        <f>C201</f>
        <v>800</v>
      </c>
      <c r="F202" s="112">
        <f>-H200+B200+C200</f>
        <v>19341.621381720168</v>
      </c>
      <c r="G202" s="469" t="s">
        <v>906</v>
      </c>
      <c r="H202" s="105">
        <v>0</v>
      </c>
      <c r="I202" s="92" t="s">
        <v>105</v>
      </c>
    </row>
    <row r="203" spans="1:9" s="92" customFormat="1" ht="16" x14ac:dyDescent="0.2">
      <c r="A203" s="105" t="s">
        <v>566</v>
      </c>
      <c r="B203" s="142"/>
      <c r="C203" s="142">
        <f>C202</f>
        <v>800</v>
      </c>
      <c r="F203" s="105">
        <v>0</v>
      </c>
      <c r="G203" s="105"/>
      <c r="H203" s="105">
        <v>0</v>
      </c>
      <c r="I203" s="92" t="s">
        <v>328</v>
      </c>
    </row>
    <row r="204" spans="1:9" s="92" customFormat="1" ht="16" x14ac:dyDescent="0.2">
      <c r="A204" s="105">
        <v>25</v>
      </c>
      <c r="B204" s="142"/>
      <c r="C204" s="142">
        <f>C203</f>
        <v>800</v>
      </c>
    </row>
    <row r="205" spans="1:9" s="92" customFormat="1" ht="16" x14ac:dyDescent="0.2">
      <c r="F205" s="105" t="s">
        <v>889</v>
      </c>
      <c r="G205" s="105" t="s">
        <v>890</v>
      </c>
      <c r="H205" s="105" t="s">
        <v>891</v>
      </c>
    </row>
    <row r="206" spans="1:9" s="92" customFormat="1" ht="16" x14ac:dyDescent="0.2">
      <c r="F206" s="105" t="s">
        <v>892</v>
      </c>
      <c r="G206" s="105" t="s">
        <v>893</v>
      </c>
      <c r="H206" s="105" t="s">
        <v>894</v>
      </c>
    </row>
    <row r="207" spans="1:9" s="92" customFormat="1" ht="16" x14ac:dyDescent="0.2">
      <c r="F207" s="105" t="s">
        <v>895</v>
      </c>
      <c r="G207" s="105" t="s">
        <v>896</v>
      </c>
      <c r="H207" s="105" t="s">
        <v>897</v>
      </c>
    </row>
    <row r="208" spans="1:9" s="92" customFormat="1" ht="16" x14ac:dyDescent="0.2">
      <c r="E208" s="92" t="s">
        <v>907</v>
      </c>
      <c r="F208" s="110" t="s">
        <v>899</v>
      </c>
      <c r="G208" s="110" t="s">
        <v>900</v>
      </c>
      <c r="H208" s="110" t="s">
        <v>901</v>
      </c>
    </row>
    <row r="209" spans="1:9" s="92" customFormat="1" ht="16" x14ac:dyDescent="0.2">
      <c r="E209" s="92" t="s">
        <v>908</v>
      </c>
      <c r="F209" s="108">
        <v>5.0000000000000001E-3</v>
      </c>
      <c r="G209" s="105"/>
      <c r="H209" s="108">
        <v>5.0000000000000001E-3</v>
      </c>
      <c r="I209" s="92" t="s">
        <v>87</v>
      </c>
    </row>
    <row r="210" spans="1:9" s="92" customFormat="1" ht="16" x14ac:dyDescent="0.2">
      <c r="E210" s="92" t="s">
        <v>909</v>
      </c>
      <c r="F210" s="105">
        <v>14</v>
      </c>
      <c r="G210" s="105"/>
      <c r="H210" s="105">
        <v>12</v>
      </c>
      <c r="I210" s="92" t="s">
        <v>89</v>
      </c>
    </row>
    <row r="211" spans="1:9" s="92" customFormat="1" ht="16" x14ac:dyDescent="0.2">
      <c r="E211" s="92" t="s">
        <v>910</v>
      </c>
      <c r="F211" s="105">
        <v>0</v>
      </c>
      <c r="G211" s="105"/>
      <c r="H211" s="460">
        <f>PV(H209,H210,H212,H213,H214)</f>
        <v>-9341.6213817201133</v>
      </c>
      <c r="I211" s="92" t="s">
        <v>281</v>
      </c>
    </row>
    <row r="212" spans="1:9" s="92" customFormat="1" ht="16" x14ac:dyDescent="0.2">
      <c r="E212" s="92" t="s">
        <v>911</v>
      </c>
      <c r="F212" s="472">
        <f>PMT(F209,F210,F211,F213,F214)</f>
        <v>-1337.2040001294406</v>
      </c>
      <c r="G212" s="105"/>
      <c r="H212" s="105">
        <v>800</v>
      </c>
      <c r="I212" s="92" t="s">
        <v>91</v>
      </c>
    </row>
    <row r="213" spans="1:9" s="92" customFormat="1" ht="16" x14ac:dyDescent="0.2">
      <c r="F213" s="112">
        <f>-H211+B200</f>
        <v>19341.621381720113</v>
      </c>
      <c r="G213" s="469" t="s">
        <v>912</v>
      </c>
      <c r="H213" s="105">
        <v>0</v>
      </c>
      <c r="I213" s="92" t="s">
        <v>105</v>
      </c>
    </row>
    <row r="214" spans="1:9" s="92" customFormat="1" ht="16" x14ac:dyDescent="0.2">
      <c r="F214" s="105">
        <v>0</v>
      </c>
      <c r="G214" s="105"/>
      <c r="H214" s="105">
        <v>1</v>
      </c>
      <c r="I214" s="92" t="s">
        <v>328</v>
      </c>
    </row>
    <row r="215" spans="1:9" s="92" customFormat="1" ht="16" x14ac:dyDescent="0.2"/>
    <row r="216" spans="1:9" s="92" customFormat="1" ht="16" x14ac:dyDescent="0.2"/>
    <row r="217" spans="1:9" s="92" customFormat="1" ht="16" x14ac:dyDescent="0.2"/>
    <row r="218" spans="1:9" s="92" customFormat="1" ht="16" x14ac:dyDescent="0.2"/>
    <row r="219" spans="1:9" s="92" customFormat="1" ht="16" x14ac:dyDescent="0.2"/>
    <row r="220" spans="1:9" s="92" customFormat="1" ht="16" x14ac:dyDescent="0.2">
      <c r="A220" s="94" t="s">
        <v>729</v>
      </c>
      <c r="B220" s="94" t="s">
        <v>808</v>
      </c>
      <c r="C220" s="94"/>
      <c r="D220" s="94"/>
      <c r="E220" s="94"/>
      <c r="F220" s="94"/>
      <c r="G220" s="94"/>
      <c r="H220" s="94"/>
    </row>
    <row r="221" spans="1:9" s="92" customFormat="1" ht="16" x14ac:dyDescent="0.2">
      <c r="A221" s="92" t="s">
        <v>913</v>
      </c>
    </row>
    <row r="222" spans="1:9" s="92" customFormat="1" ht="16" x14ac:dyDescent="0.2">
      <c r="A222" s="92" t="s">
        <v>914</v>
      </c>
    </row>
    <row r="223" spans="1:9" s="92" customFormat="1" ht="16" x14ac:dyDescent="0.2">
      <c r="A223" s="92" t="s">
        <v>915</v>
      </c>
    </row>
    <row r="224" spans="1:9" s="92" customFormat="1" ht="16" x14ac:dyDescent="0.2">
      <c r="A224" s="92" t="s">
        <v>916</v>
      </c>
    </row>
    <row r="225" spans="1:7" s="92" customFormat="1" ht="16" x14ac:dyDescent="0.2"/>
    <row r="226" spans="1:7" s="92" customFormat="1" ht="16" x14ac:dyDescent="0.2">
      <c r="A226" s="92" t="s">
        <v>917</v>
      </c>
    </row>
    <row r="227" spans="1:7" s="92" customFormat="1" ht="16" x14ac:dyDescent="0.2"/>
    <row r="228" spans="1:7" s="92" customFormat="1" ht="16" x14ac:dyDescent="0.2">
      <c r="A228" s="110" t="s">
        <v>918</v>
      </c>
      <c r="B228" s="110" t="s">
        <v>895</v>
      </c>
      <c r="C228" s="110" t="s">
        <v>829</v>
      </c>
      <c r="F228" s="110" t="s">
        <v>919</v>
      </c>
      <c r="G228" s="110"/>
    </row>
    <row r="229" spans="1:7" s="92" customFormat="1" ht="16" x14ac:dyDescent="0.2">
      <c r="A229" s="105">
        <v>2</v>
      </c>
      <c r="B229" s="105">
        <v>500</v>
      </c>
      <c r="C229" s="726" t="s">
        <v>920</v>
      </c>
      <c r="F229" s="105">
        <v>0</v>
      </c>
      <c r="G229" s="114">
        <f>-C240</f>
        <v>1270.2205233101586</v>
      </c>
    </row>
    <row r="230" spans="1:7" s="92" customFormat="1" ht="16" x14ac:dyDescent="0.2">
      <c r="A230" s="105">
        <v>4</v>
      </c>
      <c r="B230" s="105">
        <f>B229</f>
        <v>500</v>
      </c>
      <c r="C230" s="727"/>
      <c r="G230" s="92" t="s">
        <v>921</v>
      </c>
    </row>
    <row r="231" spans="1:7" s="92" customFormat="1" ht="16" x14ac:dyDescent="0.2">
      <c r="A231" s="105">
        <v>6</v>
      </c>
      <c r="B231" s="105">
        <f>B230</f>
        <v>500</v>
      </c>
      <c r="C231" s="727"/>
    </row>
    <row r="232" spans="1:7" s="92" customFormat="1" ht="16" x14ac:dyDescent="0.2">
      <c r="A232" s="105">
        <v>8</v>
      </c>
      <c r="B232" s="105">
        <f>B231</f>
        <v>500</v>
      </c>
      <c r="C232" s="727"/>
    </row>
    <row r="233" spans="1:7" s="92" customFormat="1" ht="16" x14ac:dyDescent="0.2"/>
    <row r="234" spans="1:7" s="92" customFormat="1" ht="16" x14ac:dyDescent="0.2">
      <c r="A234" s="92" t="s">
        <v>922</v>
      </c>
    </row>
    <row r="235" spans="1:7" s="92" customFormat="1" ht="16" x14ac:dyDescent="0.2"/>
    <row r="236" spans="1:7" s="92" customFormat="1" ht="16" x14ac:dyDescent="0.2">
      <c r="C236" s="105" t="s">
        <v>918</v>
      </c>
    </row>
    <row r="237" spans="1:7" s="92" customFormat="1" ht="16" x14ac:dyDescent="0.2">
      <c r="C237" s="110" t="s">
        <v>923</v>
      </c>
    </row>
    <row r="238" spans="1:7" s="92" customFormat="1" ht="16" x14ac:dyDescent="0.2">
      <c r="C238" s="104">
        <v>0.21</v>
      </c>
      <c r="D238" s="92" t="s">
        <v>87</v>
      </c>
    </row>
    <row r="239" spans="1:7" s="92" customFormat="1" ht="16" x14ac:dyDescent="0.2">
      <c r="C239" s="105">
        <v>4</v>
      </c>
      <c r="D239" s="92" t="s">
        <v>89</v>
      </c>
    </row>
    <row r="240" spans="1:7" s="92" customFormat="1" ht="16" x14ac:dyDescent="0.2">
      <c r="C240" s="114">
        <f>PV(C238,C239,C241,C242,C243)</f>
        <v>-1270.2205233101586</v>
      </c>
      <c r="D240" s="92" t="s">
        <v>281</v>
      </c>
    </row>
    <row r="241" spans="1:8" s="92" customFormat="1" ht="16" x14ac:dyDescent="0.2">
      <c r="C241" s="112">
        <f>B232</f>
        <v>500</v>
      </c>
      <c r="D241" s="92" t="s">
        <v>91</v>
      </c>
    </row>
    <row r="242" spans="1:8" s="92" customFormat="1" ht="16" x14ac:dyDescent="0.2">
      <c r="C242" s="105">
        <v>0</v>
      </c>
      <c r="D242" s="92" t="s">
        <v>105</v>
      </c>
    </row>
    <row r="243" spans="1:8" s="92" customFormat="1" ht="16" x14ac:dyDescent="0.2">
      <c r="C243" s="105">
        <v>0</v>
      </c>
      <c r="D243" s="92" t="s">
        <v>328</v>
      </c>
    </row>
    <row r="244" spans="1:8" s="92" customFormat="1" ht="16" x14ac:dyDescent="0.2"/>
    <row r="245" spans="1:8" s="92" customFormat="1" ht="16" x14ac:dyDescent="0.2">
      <c r="A245" s="94" t="s">
        <v>924</v>
      </c>
      <c r="B245" s="94" t="s">
        <v>925</v>
      </c>
      <c r="C245" s="94"/>
      <c r="D245" s="94"/>
      <c r="E245" s="94"/>
      <c r="F245" s="94"/>
      <c r="G245" s="94"/>
      <c r="H245" s="94"/>
    </row>
    <row r="246" spans="1:8" s="92" customFormat="1" ht="16" x14ac:dyDescent="0.2">
      <c r="A246" s="92" t="s">
        <v>926</v>
      </c>
    </row>
    <row r="247" spans="1:8" s="92" customFormat="1" ht="16" x14ac:dyDescent="0.2">
      <c r="A247" s="92" t="s">
        <v>927</v>
      </c>
    </row>
    <row r="248" spans="1:8" s="92" customFormat="1" ht="16" x14ac:dyDescent="0.2">
      <c r="A248" s="92" t="s">
        <v>928</v>
      </c>
    </row>
    <row r="249" spans="1:8" s="92" customFormat="1" ht="16" x14ac:dyDescent="0.2"/>
    <row r="250" spans="1:8" s="92" customFormat="1" ht="16" x14ac:dyDescent="0.2">
      <c r="A250" s="93" t="s">
        <v>929</v>
      </c>
      <c r="B250" s="93"/>
      <c r="C250" s="93"/>
      <c r="D250" s="93"/>
      <c r="E250" s="93"/>
      <c r="F250" s="93"/>
      <c r="G250" s="93"/>
      <c r="H250" s="93"/>
    </row>
    <row r="251" spans="1:8" s="92" customFormat="1" ht="16" x14ac:dyDescent="0.2"/>
    <row r="252" spans="1:8" s="92" customFormat="1" ht="16" x14ac:dyDescent="0.2">
      <c r="A252" s="92" t="s">
        <v>930</v>
      </c>
    </row>
    <row r="253" spans="1:8" s="92" customFormat="1" ht="16" x14ac:dyDescent="0.2"/>
    <row r="254" spans="1:8" s="92" customFormat="1" ht="16" x14ac:dyDescent="0.2">
      <c r="A254" s="92" t="s">
        <v>931</v>
      </c>
    </row>
    <row r="255" spans="1:8" s="92" customFormat="1" ht="16" x14ac:dyDescent="0.2">
      <c r="A255" s="92" t="s">
        <v>932</v>
      </c>
    </row>
    <row r="256" spans="1:8" s="92" customFormat="1" ht="16" x14ac:dyDescent="0.2">
      <c r="A256" s="92" t="s">
        <v>933</v>
      </c>
    </row>
    <row r="257" spans="1:8" s="92" customFormat="1" ht="16" x14ac:dyDescent="0.2"/>
    <row r="258" spans="1:8" s="92" customFormat="1" ht="16" x14ac:dyDescent="0.2">
      <c r="A258" s="92" t="s">
        <v>934</v>
      </c>
    </row>
    <row r="259" spans="1:8" s="92" customFormat="1" ht="16" x14ac:dyDescent="0.2">
      <c r="A259" s="93" t="s">
        <v>935</v>
      </c>
      <c r="B259" s="93"/>
    </row>
    <row r="260" spans="1:8" s="92" customFormat="1" ht="16" x14ac:dyDescent="0.2">
      <c r="A260" s="93" t="s">
        <v>936</v>
      </c>
      <c r="B260" s="93"/>
    </row>
    <row r="261" spans="1:8" s="92" customFormat="1" ht="16" x14ac:dyDescent="0.2">
      <c r="A261" s="92" t="s">
        <v>937</v>
      </c>
    </row>
    <row r="262" spans="1:8" s="92" customFormat="1" ht="16" x14ac:dyDescent="0.2"/>
    <row r="263" spans="1:8" s="92" customFormat="1" ht="16" x14ac:dyDescent="0.2">
      <c r="A263" s="117" t="s">
        <v>938</v>
      </c>
      <c r="B263" s="117"/>
      <c r="C263" s="117"/>
      <c r="D263" s="117"/>
      <c r="E263" s="117"/>
      <c r="F263" s="117"/>
      <c r="G263" s="117"/>
      <c r="H263" s="117"/>
    </row>
    <row r="264" spans="1:8" s="92" customFormat="1" ht="16" x14ac:dyDescent="0.2">
      <c r="A264" s="117" t="s">
        <v>939</v>
      </c>
      <c r="B264" s="117"/>
      <c r="C264" s="117"/>
      <c r="D264" s="117"/>
      <c r="E264" s="117"/>
      <c r="F264" s="117"/>
      <c r="G264" s="117"/>
      <c r="H264" s="117"/>
    </row>
    <row r="265" spans="1:8" s="92" customFormat="1" ht="16" x14ac:dyDescent="0.2"/>
    <row r="266" spans="1:8" s="92" customFormat="1" ht="16" x14ac:dyDescent="0.2">
      <c r="A266" s="92" t="s">
        <v>940</v>
      </c>
    </row>
    <row r="267" spans="1:8" s="92" customFormat="1" ht="16" x14ac:dyDescent="0.2">
      <c r="A267" s="92" t="s">
        <v>928</v>
      </c>
    </row>
    <row r="268" spans="1:8" s="92" customFormat="1" ht="16" x14ac:dyDescent="0.2"/>
    <row r="269" spans="1:8" s="92" customFormat="1" ht="16" x14ac:dyDescent="0.2">
      <c r="A269" s="93" t="s">
        <v>941</v>
      </c>
      <c r="D269" s="92" t="s">
        <v>942</v>
      </c>
    </row>
    <row r="270" spans="1:8" s="92" customFormat="1" ht="16" x14ac:dyDescent="0.2">
      <c r="F270" s="108">
        <v>5.0000000000000001E-3</v>
      </c>
      <c r="G270" s="92" t="s">
        <v>87</v>
      </c>
    </row>
    <row r="271" spans="1:8" s="92" customFormat="1" ht="16" x14ac:dyDescent="0.2">
      <c r="A271" s="92" t="s">
        <v>943</v>
      </c>
      <c r="F271" s="105">
        <f>18*12</f>
        <v>216</v>
      </c>
      <c r="G271" s="92" t="s">
        <v>89</v>
      </c>
    </row>
    <row r="272" spans="1:8" s="92" customFormat="1" ht="16" x14ac:dyDescent="0.2">
      <c r="F272" s="112">
        <v>15000</v>
      </c>
      <c r="G272" s="92" t="s">
        <v>91</v>
      </c>
    </row>
    <row r="273" spans="1:7" s="92" customFormat="1" ht="16" x14ac:dyDescent="0.2">
      <c r="F273" s="114">
        <f>PV(F270,F271,F272,F274,F275)</f>
        <v>-1988360.4826842579</v>
      </c>
      <c r="G273" s="92" t="s">
        <v>281</v>
      </c>
    </row>
    <row r="274" spans="1:7" s="92" customFormat="1" ht="16" x14ac:dyDescent="0.2">
      <c r="A274" s="92" t="s">
        <v>944</v>
      </c>
      <c r="F274" s="105">
        <v>0</v>
      </c>
      <c r="G274" s="92" t="s">
        <v>105</v>
      </c>
    </row>
    <row r="275" spans="1:7" s="92" customFormat="1" ht="16" x14ac:dyDescent="0.2">
      <c r="A275" s="92" t="s">
        <v>945</v>
      </c>
      <c r="F275" s="105">
        <v>1</v>
      </c>
      <c r="G275" s="92" t="s">
        <v>328</v>
      </c>
    </row>
    <row r="276" spans="1:7" s="92" customFormat="1" ht="16" x14ac:dyDescent="0.2"/>
    <row r="277" spans="1:7" s="92" customFormat="1" ht="16" x14ac:dyDescent="0.2">
      <c r="A277" s="92" t="s">
        <v>946</v>
      </c>
    </row>
    <row r="278" spans="1:7" s="92" customFormat="1" ht="16" x14ac:dyDescent="0.2">
      <c r="A278" s="92" t="s">
        <v>947</v>
      </c>
    </row>
    <row r="279" spans="1:7" s="92" customFormat="1" ht="16" x14ac:dyDescent="0.2"/>
    <row r="280" spans="1:7" s="92" customFormat="1" ht="16" x14ac:dyDescent="0.2">
      <c r="A280" s="93" t="s">
        <v>948</v>
      </c>
      <c r="D280" s="92" t="s">
        <v>949</v>
      </c>
    </row>
    <row r="281" spans="1:7" s="92" customFormat="1" ht="16" x14ac:dyDescent="0.2">
      <c r="A281" s="93"/>
      <c r="F281" s="108">
        <v>5.0000000000000001E-3</v>
      </c>
      <c r="G281" s="92" t="s">
        <v>87</v>
      </c>
    </row>
    <row r="282" spans="1:7" s="92" customFormat="1" ht="16" x14ac:dyDescent="0.2">
      <c r="A282" s="92" t="s">
        <v>950</v>
      </c>
      <c r="F282" s="105">
        <f>42*12</f>
        <v>504</v>
      </c>
      <c r="G282" s="92" t="s">
        <v>89</v>
      </c>
    </row>
    <row r="283" spans="1:7" s="92" customFormat="1" ht="16" x14ac:dyDescent="0.2">
      <c r="A283" s="93"/>
      <c r="D283" s="92" t="s">
        <v>952</v>
      </c>
      <c r="F283" s="118">
        <f>PMT(F281,F282,F284,F285,F286)</f>
        <v>-875.8679135166667</v>
      </c>
      <c r="G283" s="92" t="s">
        <v>91</v>
      </c>
    </row>
    <row r="284" spans="1:7" s="92" customFormat="1" ht="16" x14ac:dyDescent="0.2">
      <c r="A284" s="93"/>
      <c r="D284" s="92" t="s">
        <v>951</v>
      </c>
      <c r="F284" s="105">
        <v>0</v>
      </c>
      <c r="G284" s="92" t="s">
        <v>281</v>
      </c>
    </row>
    <row r="285" spans="1:7" s="92" customFormat="1" ht="16" x14ac:dyDescent="0.2">
      <c r="D285" s="92" t="s">
        <v>953</v>
      </c>
      <c r="F285" s="114">
        <f>-F273</f>
        <v>1988360.4826842579</v>
      </c>
      <c r="G285" s="92" t="s">
        <v>105</v>
      </c>
    </row>
    <row r="286" spans="1:7" s="92" customFormat="1" ht="16" x14ac:dyDescent="0.2">
      <c r="D286" s="92" t="s">
        <v>954</v>
      </c>
      <c r="F286" s="105">
        <v>0</v>
      </c>
      <c r="G286" s="92" t="s">
        <v>328</v>
      </c>
    </row>
    <row r="287" spans="1:7" s="92" customFormat="1" ht="16" x14ac:dyDescent="0.2"/>
    <row r="288" spans="1:7" s="92" customFormat="1" ht="16" x14ac:dyDescent="0.2">
      <c r="A288" s="93" t="s">
        <v>955</v>
      </c>
    </row>
    <row r="289" spans="1:8" s="92" customFormat="1" ht="16" x14ac:dyDescent="0.2"/>
    <row r="290" spans="1:8" s="92" customFormat="1" ht="16" x14ac:dyDescent="0.2">
      <c r="A290" s="94" t="s">
        <v>956</v>
      </c>
      <c r="B290" s="94" t="s">
        <v>815</v>
      </c>
      <c r="C290" s="94"/>
      <c r="D290" s="94"/>
      <c r="E290" s="94"/>
      <c r="F290" s="94"/>
      <c r="G290" s="94"/>
      <c r="H290" s="94"/>
    </row>
    <row r="291" spans="1:8" s="92" customFormat="1" ht="16" x14ac:dyDescent="0.2">
      <c r="A291" s="92" t="s">
        <v>957</v>
      </c>
    </row>
    <row r="292" spans="1:8" s="92" customFormat="1" ht="16" x14ac:dyDescent="0.2">
      <c r="A292" s="92" t="s">
        <v>958</v>
      </c>
    </row>
    <row r="293" spans="1:8" s="92" customFormat="1" ht="16" x14ac:dyDescent="0.2"/>
    <row r="294" spans="1:8" s="92" customFormat="1" ht="16" x14ac:dyDescent="0.2">
      <c r="A294" s="92" t="s">
        <v>959</v>
      </c>
    </row>
    <row r="295" spans="1:8" s="92" customFormat="1" ht="16" x14ac:dyDescent="0.2"/>
    <row r="296" spans="1:8" s="92" customFormat="1" ht="16" x14ac:dyDescent="0.2">
      <c r="A296" s="92" t="s">
        <v>321</v>
      </c>
    </row>
    <row r="297" spans="1:8" s="92" customFormat="1" ht="16" x14ac:dyDescent="0.2">
      <c r="A297" s="92" t="s">
        <v>960</v>
      </c>
    </row>
    <row r="298" spans="1:8" s="92" customFormat="1" ht="16" x14ac:dyDescent="0.2">
      <c r="A298" s="92" t="s">
        <v>961</v>
      </c>
    </row>
    <row r="299" spans="1:8" s="92" customFormat="1" ht="16" x14ac:dyDescent="0.2">
      <c r="A299" s="92" t="s">
        <v>962</v>
      </c>
    </row>
    <row r="300" spans="1:8" s="92" customFormat="1" ht="16" x14ac:dyDescent="0.2"/>
    <row r="301" spans="1:8" s="92" customFormat="1" ht="16" x14ac:dyDescent="0.2">
      <c r="A301" s="93" t="s">
        <v>963</v>
      </c>
    </row>
    <row r="302" spans="1:8" s="92" customFormat="1" ht="16" x14ac:dyDescent="0.2">
      <c r="B302" s="111" t="s">
        <v>964</v>
      </c>
      <c r="C302" s="111"/>
      <c r="F302" s="111" t="s">
        <v>965</v>
      </c>
      <c r="G302" s="111"/>
    </row>
    <row r="303" spans="1:8" s="92" customFormat="1" ht="16" x14ac:dyDescent="0.2">
      <c r="B303" s="108">
        <v>0.08</v>
      </c>
      <c r="C303" s="92" t="s">
        <v>87</v>
      </c>
      <c r="F303" s="109">
        <v>700000</v>
      </c>
      <c r="G303" s="92" t="s">
        <v>686</v>
      </c>
    </row>
    <row r="304" spans="1:8" s="92" customFormat="1" ht="16" x14ac:dyDescent="0.2">
      <c r="B304" s="105">
        <v>10</v>
      </c>
      <c r="C304" s="92" t="s">
        <v>89</v>
      </c>
    </row>
    <row r="305" spans="1:6" s="92" customFormat="1" ht="16" x14ac:dyDescent="0.2">
      <c r="B305" s="112">
        <v>100000</v>
      </c>
      <c r="C305" s="92" t="s">
        <v>91</v>
      </c>
      <c r="F305" s="92" t="s">
        <v>966</v>
      </c>
    </row>
    <row r="306" spans="1:6" s="92" customFormat="1" ht="16" x14ac:dyDescent="0.2">
      <c r="B306" s="114">
        <f>PV(B303,B304,B305,B307,B308)</f>
        <v>-671008.13989414473</v>
      </c>
      <c r="C306" s="92" t="s">
        <v>281</v>
      </c>
      <c r="F306" s="92" t="s">
        <v>967</v>
      </c>
    </row>
    <row r="307" spans="1:6" s="92" customFormat="1" ht="16" x14ac:dyDescent="0.2">
      <c r="B307" s="105">
        <v>0</v>
      </c>
      <c r="C307" s="92" t="s">
        <v>105</v>
      </c>
      <c r="F307" s="92" t="s">
        <v>968</v>
      </c>
    </row>
    <row r="308" spans="1:6" s="92" customFormat="1" ht="16" x14ac:dyDescent="0.2">
      <c r="B308" s="105">
        <v>0</v>
      </c>
      <c r="C308" s="92" t="s">
        <v>328</v>
      </c>
    </row>
    <row r="309" spans="1:6" s="92" customFormat="1" ht="16" x14ac:dyDescent="0.2"/>
    <row r="310" spans="1:6" s="92" customFormat="1" ht="16" x14ac:dyDescent="0.2">
      <c r="A310" s="93" t="s">
        <v>969</v>
      </c>
    </row>
    <row r="311" spans="1:6" s="92" customFormat="1" ht="16" x14ac:dyDescent="0.2">
      <c r="A311" s="93"/>
      <c r="B311" s="111" t="s">
        <v>970</v>
      </c>
      <c r="C311" s="111"/>
    </row>
    <row r="312" spans="1:6" s="92" customFormat="1" ht="16" x14ac:dyDescent="0.2">
      <c r="A312" s="93"/>
      <c r="B312" s="108">
        <v>0.08</v>
      </c>
      <c r="C312" s="92" t="s">
        <v>87</v>
      </c>
    </row>
    <row r="313" spans="1:6" s="92" customFormat="1" ht="16" x14ac:dyDescent="0.2">
      <c r="A313" s="93"/>
      <c r="B313" s="105">
        <v>10</v>
      </c>
      <c r="C313" s="92" t="s">
        <v>89</v>
      </c>
    </row>
    <row r="314" spans="1:6" s="92" customFormat="1" ht="16" x14ac:dyDescent="0.2">
      <c r="B314" s="118">
        <f>PMT(B312,B313,B315,B316,B317)</f>
        <v>-104320.6420879528</v>
      </c>
      <c r="C314" s="92" t="s">
        <v>91</v>
      </c>
      <c r="D314" s="92" t="s">
        <v>971</v>
      </c>
    </row>
    <row r="315" spans="1:6" s="92" customFormat="1" ht="16" x14ac:dyDescent="0.2">
      <c r="A315" s="93"/>
      <c r="B315" s="112">
        <f>F303</f>
        <v>700000</v>
      </c>
      <c r="C315" s="92" t="s">
        <v>281</v>
      </c>
    </row>
    <row r="316" spans="1:6" s="92" customFormat="1" ht="16" x14ac:dyDescent="0.2">
      <c r="B316" s="105">
        <v>0</v>
      </c>
      <c r="C316" s="92" t="s">
        <v>105</v>
      </c>
    </row>
    <row r="317" spans="1:6" s="92" customFormat="1" ht="16" x14ac:dyDescent="0.2">
      <c r="B317" s="105">
        <v>0</v>
      </c>
      <c r="C317" s="92" t="s">
        <v>328</v>
      </c>
    </row>
    <row r="318" spans="1:6" s="92" customFormat="1" ht="16" x14ac:dyDescent="0.2"/>
    <row r="319" spans="1:6" s="92" customFormat="1" ht="16" x14ac:dyDescent="0.2">
      <c r="A319" s="93" t="s">
        <v>972</v>
      </c>
    </row>
    <row r="320" spans="1:6" s="92" customFormat="1" ht="16" x14ac:dyDescent="0.2">
      <c r="C320" s="110" t="s">
        <v>153</v>
      </c>
      <c r="D320" s="110" t="s">
        <v>973</v>
      </c>
      <c r="E320" s="110" t="s">
        <v>974</v>
      </c>
    </row>
    <row r="321" spans="1:8" s="92" customFormat="1" ht="16" x14ac:dyDescent="0.2">
      <c r="B321" s="92">
        <v>0</v>
      </c>
      <c r="C321" s="112">
        <v>700000</v>
      </c>
      <c r="D321" s="105"/>
      <c r="E321" s="105"/>
    </row>
    <row r="322" spans="1:8" s="92" customFormat="1" ht="16" x14ac:dyDescent="0.2">
      <c r="B322" s="92">
        <v>1</v>
      </c>
      <c r="C322" s="112">
        <f>C321*(1+8%)</f>
        <v>756000</v>
      </c>
      <c r="D322" s="112">
        <f>B314</f>
        <v>-104320.6420879528</v>
      </c>
      <c r="E322" s="112">
        <f t="shared" ref="E322:E331" si="0">C322+D322</f>
        <v>651679.35791204718</v>
      </c>
    </row>
    <row r="323" spans="1:8" s="92" customFormat="1" ht="16" x14ac:dyDescent="0.2">
      <c r="B323" s="92">
        <f t="shared" ref="B323:B331" si="1">B322+1</f>
        <v>2</v>
      </c>
      <c r="C323" s="112">
        <f t="shared" ref="C323:C331" si="2">E322*1.08</f>
        <v>703813.70654501102</v>
      </c>
      <c r="D323" s="112">
        <f t="shared" ref="D323:D331" si="3">D322</f>
        <v>-104320.6420879528</v>
      </c>
      <c r="E323" s="112">
        <f t="shared" si="0"/>
        <v>599493.06445705821</v>
      </c>
    </row>
    <row r="324" spans="1:8" s="92" customFormat="1" ht="16" x14ac:dyDescent="0.2">
      <c r="B324" s="92">
        <f t="shared" si="1"/>
        <v>3</v>
      </c>
      <c r="C324" s="112">
        <f t="shared" si="2"/>
        <v>647452.50961362291</v>
      </c>
      <c r="D324" s="112">
        <f t="shared" si="3"/>
        <v>-104320.6420879528</v>
      </c>
      <c r="E324" s="112">
        <f t="shared" si="0"/>
        <v>543131.8675256701</v>
      </c>
    </row>
    <row r="325" spans="1:8" s="92" customFormat="1" ht="16" x14ac:dyDescent="0.2">
      <c r="B325" s="92">
        <f t="shared" si="1"/>
        <v>4</v>
      </c>
      <c r="C325" s="112">
        <f t="shared" si="2"/>
        <v>586582.4169277238</v>
      </c>
      <c r="D325" s="112">
        <f t="shared" si="3"/>
        <v>-104320.6420879528</v>
      </c>
      <c r="E325" s="112">
        <f t="shared" si="0"/>
        <v>482261.77483977098</v>
      </c>
    </row>
    <row r="326" spans="1:8" s="92" customFormat="1" ht="16" x14ac:dyDescent="0.2">
      <c r="B326" s="92">
        <f t="shared" si="1"/>
        <v>5</v>
      </c>
      <c r="C326" s="112">
        <f t="shared" si="2"/>
        <v>520842.7168269527</v>
      </c>
      <c r="D326" s="112">
        <f t="shared" si="3"/>
        <v>-104320.6420879528</v>
      </c>
      <c r="E326" s="112">
        <f t="shared" si="0"/>
        <v>416522.07473899989</v>
      </c>
    </row>
    <row r="327" spans="1:8" s="92" customFormat="1" ht="16" x14ac:dyDescent="0.2">
      <c r="B327" s="92">
        <f t="shared" si="1"/>
        <v>6</v>
      </c>
      <c r="C327" s="112">
        <f t="shared" si="2"/>
        <v>449843.84071811993</v>
      </c>
      <c r="D327" s="112">
        <f t="shared" si="3"/>
        <v>-104320.6420879528</v>
      </c>
      <c r="E327" s="112">
        <f t="shared" si="0"/>
        <v>345523.19863016711</v>
      </c>
    </row>
    <row r="328" spans="1:8" s="92" customFormat="1" ht="16" x14ac:dyDescent="0.2">
      <c r="B328" s="92">
        <f t="shared" si="1"/>
        <v>7</v>
      </c>
      <c r="C328" s="112">
        <f t="shared" si="2"/>
        <v>373165.05452058051</v>
      </c>
      <c r="D328" s="112">
        <f t="shared" si="3"/>
        <v>-104320.6420879528</v>
      </c>
      <c r="E328" s="112">
        <f t="shared" si="0"/>
        <v>268844.41243262769</v>
      </c>
    </row>
    <row r="329" spans="1:8" s="92" customFormat="1" ht="16" x14ac:dyDescent="0.2">
      <c r="B329" s="92">
        <f t="shared" si="1"/>
        <v>8</v>
      </c>
      <c r="C329" s="112">
        <f t="shared" si="2"/>
        <v>290351.96542723791</v>
      </c>
      <c r="D329" s="112">
        <f t="shared" si="3"/>
        <v>-104320.6420879528</v>
      </c>
      <c r="E329" s="112">
        <f t="shared" si="0"/>
        <v>186031.3233392851</v>
      </c>
    </row>
    <row r="330" spans="1:8" s="92" customFormat="1" ht="16" x14ac:dyDescent="0.2">
      <c r="B330" s="92">
        <f t="shared" si="1"/>
        <v>9</v>
      </c>
      <c r="C330" s="112">
        <f t="shared" si="2"/>
        <v>200913.82920642791</v>
      </c>
      <c r="D330" s="112">
        <f t="shared" si="3"/>
        <v>-104320.6420879528</v>
      </c>
      <c r="E330" s="112">
        <f t="shared" si="0"/>
        <v>96593.187118475107</v>
      </c>
    </row>
    <row r="331" spans="1:8" s="92" customFormat="1" ht="16" x14ac:dyDescent="0.2">
      <c r="B331" s="92">
        <f t="shared" si="1"/>
        <v>10</v>
      </c>
      <c r="C331" s="112">
        <f t="shared" si="2"/>
        <v>104320.64208795312</v>
      </c>
      <c r="D331" s="112">
        <f t="shared" si="3"/>
        <v>-104320.6420879528</v>
      </c>
      <c r="E331" s="112">
        <f t="shared" si="0"/>
        <v>3.2014213502407074E-10</v>
      </c>
    </row>
    <row r="332" spans="1:8" s="92" customFormat="1" ht="16" x14ac:dyDescent="0.2"/>
    <row r="333" spans="1:8" s="92" customFormat="1" ht="16" x14ac:dyDescent="0.2"/>
    <row r="334" spans="1:8" s="92" customFormat="1" ht="16" x14ac:dyDescent="0.2">
      <c r="A334" s="94" t="s">
        <v>383</v>
      </c>
      <c r="B334" s="94" t="s">
        <v>975</v>
      </c>
      <c r="C334" s="94"/>
      <c r="D334" s="94"/>
      <c r="E334" s="94"/>
      <c r="F334" s="94"/>
      <c r="G334" s="94"/>
      <c r="H334" s="94"/>
    </row>
    <row r="335" spans="1:8" s="92" customFormat="1" ht="16" x14ac:dyDescent="0.2">
      <c r="A335" s="92" t="s">
        <v>976</v>
      </c>
    </row>
    <row r="336" spans="1:8" s="92" customFormat="1" ht="16" x14ac:dyDescent="0.2">
      <c r="A336" s="92" t="s">
        <v>977</v>
      </c>
    </row>
    <row r="337" spans="1:8" s="92" customFormat="1" ht="16" x14ac:dyDescent="0.2">
      <c r="A337" s="92" t="s">
        <v>978</v>
      </c>
    </row>
    <row r="338" spans="1:8" s="92" customFormat="1" ht="16" x14ac:dyDescent="0.2"/>
    <row r="339" spans="1:8" s="92" customFormat="1" ht="16" x14ac:dyDescent="0.2">
      <c r="A339" s="93" t="s">
        <v>811</v>
      </c>
    </row>
    <row r="340" spans="1:8" s="92" customFormat="1" ht="16" x14ac:dyDescent="0.2"/>
    <row r="341" spans="1:8" s="92" customFormat="1" ht="16" x14ac:dyDescent="0.2">
      <c r="B341" s="111" t="s">
        <v>979</v>
      </c>
      <c r="C341" s="111"/>
    </row>
    <row r="342" spans="1:8" s="92" customFormat="1" ht="16" x14ac:dyDescent="0.2">
      <c r="B342" s="108">
        <v>1.4999999999999999E-2</v>
      </c>
      <c r="C342" s="92" t="s">
        <v>87</v>
      </c>
    </row>
    <row r="343" spans="1:8" s="92" customFormat="1" ht="16" x14ac:dyDescent="0.2">
      <c r="B343" s="105">
        <f>20*12</f>
        <v>240</v>
      </c>
      <c r="C343" s="92" t="s">
        <v>89</v>
      </c>
    </row>
    <row r="344" spans="1:8" s="92" customFormat="1" ht="16" x14ac:dyDescent="0.2">
      <c r="B344" s="118">
        <f>PMT(B342,B343,B345,B346,B347)</f>
        <v>-3858.2788084079039</v>
      </c>
      <c r="C344" s="92" t="s">
        <v>91</v>
      </c>
      <c r="D344" s="92" t="s">
        <v>971</v>
      </c>
    </row>
    <row r="345" spans="1:8" s="92" customFormat="1" ht="16" x14ac:dyDescent="0.2">
      <c r="B345" s="112">
        <f>250000</f>
        <v>250000</v>
      </c>
      <c r="C345" s="92" t="s">
        <v>281</v>
      </c>
    </row>
    <row r="346" spans="1:8" s="92" customFormat="1" ht="16" x14ac:dyDescent="0.2">
      <c r="B346" s="105">
        <v>0</v>
      </c>
      <c r="C346" s="92" t="s">
        <v>105</v>
      </c>
    </row>
    <row r="347" spans="1:8" s="92" customFormat="1" ht="16" x14ac:dyDescent="0.2">
      <c r="B347" s="105">
        <v>0</v>
      </c>
      <c r="C347" s="92" t="s">
        <v>328</v>
      </c>
    </row>
    <row r="348" spans="1:8" s="92" customFormat="1" ht="16" x14ac:dyDescent="0.2"/>
    <row r="349" spans="1:8" s="92" customFormat="1" ht="16" x14ac:dyDescent="0.2"/>
    <row r="350" spans="1:8" s="92" customFormat="1" ht="16" x14ac:dyDescent="0.2"/>
    <row r="351" spans="1:8" s="92" customFormat="1" ht="16" x14ac:dyDescent="0.2">
      <c r="A351" s="94" t="s">
        <v>390</v>
      </c>
      <c r="B351" s="94" t="s">
        <v>925</v>
      </c>
      <c r="C351" s="94"/>
      <c r="D351" s="94"/>
      <c r="E351" s="94"/>
      <c r="F351" s="94"/>
      <c r="G351" s="94"/>
      <c r="H351" s="94"/>
    </row>
    <row r="352" spans="1:8" s="92" customFormat="1" ht="16" x14ac:dyDescent="0.2">
      <c r="A352" s="92" t="s">
        <v>980</v>
      </c>
    </row>
    <row r="353" spans="1:6" s="92" customFormat="1" ht="16" x14ac:dyDescent="0.2">
      <c r="A353" s="92" t="s">
        <v>981</v>
      </c>
    </row>
    <row r="354" spans="1:6" s="92" customFormat="1" ht="16" x14ac:dyDescent="0.2">
      <c r="A354" s="92" t="s">
        <v>982</v>
      </c>
    </row>
    <row r="355" spans="1:6" s="92" customFormat="1" ht="16" x14ac:dyDescent="0.2">
      <c r="A355" s="92" t="s">
        <v>983</v>
      </c>
    </row>
    <row r="356" spans="1:6" s="92" customFormat="1" ht="16" x14ac:dyDescent="0.2">
      <c r="A356" s="92" t="s">
        <v>984</v>
      </c>
    </row>
    <row r="357" spans="1:6" s="92" customFormat="1" ht="16" x14ac:dyDescent="0.2">
      <c r="A357" s="92" t="s">
        <v>985</v>
      </c>
    </row>
    <row r="358" spans="1:6" s="92" customFormat="1" ht="16" x14ac:dyDescent="0.2">
      <c r="A358" s="92" t="s">
        <v>986</v>
      </c>
    </row>
    <row r="359" spans="1:6" s="92" customFormat="1" ht="16" x14ac:dyDescent="0.2"/>
    <row r="360" spans="1:6" s="92" customFormat="1" ht="16" x14ac:dyDescent="0.2">
      <c r="A360" s="92" t="s">
        <v>987</v>
      </c>
    </row>
    <row r="361" spans="1:6" s="92" customFormat="1" ht="16" x14ac:dyDescent="0.2">
      <c r="A361" s="92" t="s">
        <v>988</v>
      </c>
    </row>
    <row r="362" spans="1:6" s="92" customFormat="1" ht="16" x14ac:dyDescent="0.2">
      <c r="A362" s="92" t="s">
        <v>989</v>
      </c>
    </row>
    <row r="363" spans="1:6" s="92" customFormat="1" ht="16" x14ac:dyDescent="0.2">
      <c r="A363" s="92" t="s">
        <v>990</v>
      </c>
    </row>
    <row r="364" spans="1:6" s="92" customFormat="1" ht="16" x14ac:dyDescent="0.2">
      <c r="C364" s="121" t="s">
        <v>991</v>
      </c>
      <c r="D364" s="120" t="s">
        <v>992</v>
      </c>
      <c r="E364" s="119" t="s">
        <v>993</v>
      </c>
    </row>
    <row r="365" spans="1:6" s="92" customFormat="1" ht="16" x14ac:dyDescent="0.2">
      <c r="C365" s="110" t="s">
        <v>994</v>
      </c>
      <c r="D365" s="110" t="s">
        <v>771</v>
      </c>
      <c r="E365" s="110" t="s">
        <v>772</v>
      </c>
    </row>
    <row r="366" spans="1:6" s="92" customFormat="1" ht="16" x14ac:dyDescent="0.2">
      <c r="C366" s="122">
        <v>1.4999999999999999E-2</v>
      </c>
      <c r="D366" s="122">
        <v>1.4999999999999999E-2</v>
      </c>
      <c r="E366" s="122">
        <v>2.1999999999999999E-2</v>
      </c>
      <c r="F366" s="92" t="s">
        <v>87</v>
      </c>
    </row>
    <row r="367" spans="1:6" s="92" customFormat="1" ht="16" x14ac:dyDescent="0.2">
      <c r="C367" s="105">
        <v>6</v>
      </c>
      <c r="D367" s="105">
        <v>6</v>
      </c>
      <c r="E367" s="105">
        <v>6</v>
      </c>
      <c r="F367" s="92" t="s">
        <v>89</v>
      </c>
    </row>
    <row r="368" spans="1:6" s="92" customFormat="1" ht="16" x14ac:dyDescent="0.2">
      <c r="C368" s="105">
        <v>10000</v>
      </c>
      <c r="D368" s="105">
        <v>0</v>
      </c>
      <c r="E368" s="105">
        <v>15000</v>
      </c>
      <c r="F368" s="92" t="s">
        <v>91</v>
      </c>
    </row>
    <row r="369" spans="1:8" s="92" customFormat="1" ht="18" x14ac:dyDescent="0.2">
      <c r="A369" s="92" t="s">
        <v>995</v>
      </c>
      <c r="C369" s="123">
        <f>PV(C366,C367,C368,C370,C371)</f>
        <v>-126774.49622626232</v>
      </c>
      <c r="D369" s="116">
        <f>PV(D366,D367,D368,D370,D371)</f>
        <v>-76325.209643234994</v>
      </c>
      <c r="E369" s="114">
        <f>PV(E366,E367,E368,E370,E371)</f>
        <v>-83457.286353405114</v>
      </c>
      <c r="F369" s="92" t="s">
        <v>281</v>
      </c>
    </row>
    <row r="370" spans="1:8" s="92" customFormat="1" ht="16" x14ac:dyDescent="0.2">
      <c r="C370" s="116">
        <f>-D369</f>
        <v>76325.209643234994</v>
      </c>
      <c r="D370" s="114">
        <f>-E369</f>
        <v>83457.286353405114</v>
      </c>
      <c r="E370" s="105">
        <v>0</v>
      </c>
      <c r="F370" s="92" t="s">
        <v>105</v>
      </c>
    </row>
    <row r="371" spans="1:8" s="92" customFormat="1" ht="16" x14ac:dyDescent="0.2"/>
    <row r="372" spans="1:8" s="92" customFormat="1" ht="16" x14ac:dyDescent="0.2"/>
    <row r="373" spans="1:8" s="92" customFormat="1" ht="16" x14ac:dyDescent="0.2"/>
    <row r="374" spans="1:8" s="92" customFormat="1" ht="16" x14ac:dyDescent="0.2">
      <c r="A374" s="94" t="s">
        <v>395</v>
      </c>
      <c r="B374" s="94" t="s">
        <v>996</v>
      </c>
      <c r="C374" s="94"/>
      <c r="D374" s="94"/>
      <c r="E374" s="94"/>
      <c r="F374" s="94"/>
      <c r="G374" s="94"/>
      <c r="H374" s="94"/>
    </row>
    <row r="375" spans="1:8" s="92" customFormat="1" ht="16" x14ac:dyDescent="0.2">
      <c r="A375" s="92" t="s">
        <v>997</v>
      </c>
    </row>
    <row r="376" spans="1:8" s="92" customFormat="1" ht="16" x14ac:dyDescent="0.2">
      <c r="A376" s="92" t="s">
        <v>998</v>
      </c>
    </row>
    <row r="377" spans="1:8" s="92" customFormat="1" ht="16" x14ac:dyDescent="0.2">
      <c r="A377" s="92" t="s">
        <v>999</v>
      </c>
    </row>
    <row r="378" spans="1:8" s="92" customFormat="1" ht="17" thickBot="1" x14ac:dyDescent="0.25"/>
    <row r="379" spans="1:8" s="92" customFormat="1" ht="17" thickBot="1" x14ac:dyDescent="0.25">
      <c r="A379" s="124" t="s">
        <v>1000</v>
      </c>
      <c r="B379" s="125"/>
      <c r="C379" s="125"/>
      <c r="D379" s="125"/>
      <c r="E379" s="125"/>
      <c r="F379" s="125"/>
      <c r="G379" s="125"/>
      <c r="H379" s="126"/>
    </row>
    <row r="380" spans="1:8" s="92" customFormat="1" ht="16" x14ac:dyDescent="0.2">
      <c r="A380" s="92" t="s">
        <v>1001</v>
      </c>
    </row>
    <row r="381" spans="1:8" s="92" customFormat="1" ht="16" x14ac:dyDescent="0.2">
      <c r="A381" s="92" t="s">
        <v>1002</v>
      </c>
    </row>
    <row r="382" spans="1:8" s="92" customFormat="1" ht="16" x14ac:dyDescent="0.2"/>
    <row r="383" spans="1:8" s="92" customFormat="1" ht="16" x14ac:dyDescent="0.2">
      <c r="A383" s="92" t="s">
        <v>1003</v>
      </c>
    </row>
    <row r="384" spans="1:8" s="92" customFormat="1" ht="16" x14ac:dyDescent="0.2">
      <c r="A384" s="92" t="s">
        <v>1004</v>
      </c>
    </row>
    <row r="385" spans="1:5" s="92" customFormat="1" ht="16" x14ac:dyDescent="0.2"/>
    <row r="386" spans="1:5" s="92" customFormat="1" ht="16" x14ac:dyDescent="0.2">
      <c r="A386" s="92" t="s">
        <v>1005</v>
      </c>
    </row>
    <row r="387" spans="1:5" s="92" customFormat="1" ht="16" x14ac:dyDescent="0.2">
      <c r="A387" s="92" t="s">
        <v>1006</v>
      </c>
    </row>
    <row r="388" spans="1:5" s="92" customFormat="1" ht="16" x14ac:dyDescent="0.2">
      <c r="A388" s="92" t="s">
        <v>1007</v>
      </c>
    </row>
    <row r="389" spans="1:5" s="92" customFormat="1" ht="16" x14ac:dyDescent="0.2">
      <c r="A389" s="92" t="s">
        <v>1008</v>
      </c>
    </row>
    <row r="390" spans="1:5" s="92" customFormat="1" ht="16" x14ac:dyDescent="0.2"/>
    <row r="391" spans="1:5" s="92" customFormat="1" ht="16" x14ac:dyDescent="0.2">
      <c r="A391" s="92" t="s">
        <v>1009</v>
      </c>
    </row>
    <row r="392" spans="1:5" s="92" customFormat="1" ht="16" x14ac:dyDescent="0.2">
      <c r="A392" s="92" t="s">
        <v>1010</v>
      </c>
    </row>
    <row r="393" spans="1:5" s="92" customFormat="1" ht="16" x14ac:dyDescent="0.2">
      <c r="A393" s="92" t="s">
        <v>1011</v>
      </c>
    </row>
    <row r="394" spans="1:5" s="92" customFormat="1" ht="16" x14ac:dyDescent="0.2"/>
    <row r="395" spans="1:5" s="92" customFormat="1" ht="16" x14ac:dyDescent="0.2">
      <c r="A395" s="92" t="s">
        <v>1012</v>
      </c>
    </row>
    <row r="396" spans="1:5" s="92" customFormat="1" ht="16" x14ac:dyDescent="0.2">
      <c r="A396" s="92" t="s">
        <v>1013</v>
      </c>
    </row>
    <row r="397" spans="1:5" s="92" customFormat="1" ht="16" x14ac:dyDescent="0.2"/>
    <row r="398" spans="1:5" s="92" customFormat="1" ht="16" x14ac:dyDescent="0.2"/>
    <row r="399" spans="1:5" s="92" customFormat="1" ht="16" x14ac:dyDescent="0.2">
      <c r="D399" s="110" t="s">
        <v>1014</v>
      </c>
    </row>
    <row r="400" spans="1:5" s="92" customFormat="1" ht="16" x14ac:dyDescent="0.2">
      <c r="D400" s="122">
        <v>2.01E-2</v>
      </c>
      <c r="E400" s="92" t="s">
        <v>87</v>
      </c>
    </row>
    <row r="401" spans="1:5" s="92" customFormat="1" ht="16" x14ac:dyDescent="0.2">
      <c r="D401" s="105">
        <v>6</v>
      </c>
      <c r="E401" s="92" t="s">
        <v>89</v>
      </c>
    </row>
    <row r="402" spans="1:5" s="92" customFormat="1" ht="16" x14ac:dyDescent="0.2">
      <c r="A402" s="92" t="s">
        <v>1015</v>
      </c>
      <c r="D402" s="114">
        <f>PV(D400,D401,D403,D404,C405)</f>
        <v>-2799.7705157921973</v>
      </c>
      <c r="E402" s="92" t="s">
        <v>281</v>
      </c>
    </row>
    <row r="403" spans="1:5" s="92" customFormat="1" ht="16" x14ac:dyDescent="0.2">
      <c r="D403" s="105">
        <v>500</v>
      </c>
      <c r="E403" s="92" t="s">
        <v>91</v>
      </c>
    </row>
    <row r="404" spans="1:5" s="92" customFormat="1" ht="16" x14ac:dyDescent="0.2">
      <c r="D404" s="105">
        <v>0</v>
      </c>
      <c r="E404" s="92" t="s">
        <v>105</v>
      </c>
    </row>
    <row r="405" spans="1:5" s="92" customFormat="1" ht="16" x14ac:dyDescent="0.2"/>
    <row r="406" spans="1:5" s="92" customFormat="1" ht="16" x14ac:dyDescent="0.2">
      <c r="A406" s="92" t="s">
        <v>1016</v>
      </c>
      <c r="D406" s="127">
        <f>-D402*1.01</f>
        <v>2827.7682209501195</v>
      </c>
    </row>
    <row r="407" spans="1:5" s="92" customFormat="1" ht="16" x14ac:dyDescent="0.2"/>
    <row r="408" spans="1:5" s="92" customFormat="1" ht="16" x14ac:dyDescent="0.2">
      <c r="A408" s="92" t="s">
        <v>1017</v>
      </c>
    </row>
    <row r="409" spans="1:5" s="92" customFormat="1" ht="16" x14ac:dyDescent="0.2">
      <c r="E409" s="92" t="s">
        <v>1018</v>
      </c>
    </row>
    <row r="410" spans="1:5" s="92" customFormat="1" ht="16" x14ac:dyDescent="0.2"/>
    <row r="411" spans="1:5" s="92" customFormat="1" ht="16" x14ac:dyDescent="0.2">
      <c r="D411" s="110" t="s">
        <v>868</v>
      </c>
    </row>
    <row r="412" spans="1:5" s="92" customFormat="1" ht="16" x14ac:dyDescent="0.2">
      <c r="D412" s="122">
        <v>2.01E-2</v>
      </c>
      <c r="E412" s="92" t="s">
        <v>87</v>
      </c>
    </row>
    <row r="413" spans="1:5" s="92" customFormat="1" ht="16" x14ac:dyDescent="0.2">
      <c r="D413" s="105">
        <v>6</v>
      </c>
      <c r="E413" s="92" t="s">
        <v>89</v>
      </c>
    </row>
    <row r="414" spans="1:5" s="92" customFormat="1" ht="16" x14ac:dyDescent="0.2">
      <c r="A414" s="92" t="s">
        <v>1019</v>
      </c>
      <c r="D414" s="114">
        <f>PV(D412,D413,D415,D416,C417)</f>
        <v>-2827.7682209501195</v>
      </c>
      <c r="E414" s="92" t="s">
        <v>281</v>
      </c>
    </row>
    <row r="415" spans="1:5" s="92" customFormat="1" ht="16" x14ac:dyDescent="0.2">
      <c r="D415" s="105">
        <v>505</v>
      </c>
      <c r="E415" s="92" t="s">
        <v>91</v>
      </c>
    </row>
    <row r="416" spans="1:5" s="92" customFormat="1" ht="16" x14ac:dyDescent="0.2">
      <c r="D416" s="105">
        <v>0</v>
      </c>
      <c r="E416" s="92" t="s">
        <v>105</v>
      </c>
    </row>
    <row r="417" spans="1:8" s="92" customFormat="1" ht="16" x14ac:dyDescent="0.2"/>
    <row r="418" spans="1:8" s="92" customFormat="1" ht="16" x14ac:dyDescent="0.2">
      <c r="A418" s="92" t="s">
        <v>1020</v>
      </c>
    </row>
    <row r="419" spans="1:8" s="92" customFormat="1" ht="16" x14ac:dyDescent="0.2">
      <c r="A419" s="92" t="s">
        <v>1021</v>
      </c>
    </row>
    <row r="420" spans="1:8" s="92" customFormat="1" ht="16" x14ac:dyDescent="0.2"/>
    <row r="421" spans="1:8" s="92" customFormat="1" ht="16" x14ac:dyDescent="0.2">
      <c r="A421" s="92" t="s">
        <v>1022</v>
      </c>
    </row>
    <row r="422" spans="1:8" s="92" customFormat="1" ht="16" x14ac:dyDescent="0.2">
      <c r="A422" s="92" t="s">
        <v>1023</v>
      </c>
    </row>
    <row r="423" spans="1:8" s="92" customFormat="1" ht="16" x14ac:dyDescent="0.2"/>
    <row r="424" spans="1:8" s="92" customFormat="1" ht="16" x14ac:dyDescent="0.2">
      <c r="A424" s="94" t="s">
        <v>408</v>
      </c>
      <c r="B424" s="94"/>
      <c r="C424" s="94"/>
      <c r="D424" s="94"/>
      <c r="E424" s="94"/>
      <c r="F424" s="94"/>
      <c r="G424" s="94"/>
      <c r="H424" s="94"/>
    </row>
    <row r="425" spans="1:8" s="92" customFormat="1" ht="16" x14ac:dyDescent="0.2"/>
    <row r="426" spans="1:8" s="92" customFormat="1" ht="16" x14ac:dyDescent="0.2">
      <c r="A426" s="92" t="s">
        <v>1024</v>
      </c>
    </row>
    <row r="427" spans="1:8" s="92" customFormat="1" ht="16" x14ac:dyDescent="0.2">
      <c r="A427" s="92" t="s">
        <v>1025</v>
      </c>
    </row>
    <row r="428" spans="1:8" s="92" customFormat="1" ht="16" x14ac:dyDescent="0.2"/>
    <row r="429" spans="1:8" s="92" customFormat="1" ht="16" x14ac:dyDescent="0.2">
      <c r="A429" s="92" t="s">
        <v>1026</v>
      </c>
    </row>
    <row r="430" spans="1:8" s="92" customFormat="1" ht="16" x14ac:dyDescent="0.2"/>
    <row r="431" spans="1:8" s="92" customFormat="1" ht="16" x14ac:dyDescent="0.2">
      <c r="A431" s="110" t="s">
        <v>886</v>
      </c>
      <c r="B431" s="110" t="s">
        <v>887</v>
      </c>
      <c r="C431" s="111" t="s">
        <v>888</v>
      </c>
      <c r="F431" s="105" t="s">
        <v>889</v>
      </c>
      <c r="G431" s="105" t="s">
        <v>890</v>
      </c>
      <c r="H431" s="105" t="s">
        <v>891</v>
      </c>
    </row>
    <row r="432" spans="1:8" s="92" customFormat="1" ht="16" x14ac:dyDescent="0.2">
      <c r="A432" s="105">
        <v>0</v>
      </c>
      <c r="B432" s="105"/>
      <c r="C432" s="471"/>
      <c r="F432" s="105" t="s">
        <v>892</v>
      </c>
      <c r="G432" s="105" t="s">
        <v>893</v>
      </c>
      <c r="H432" s="105" t="s">
        <v>894</v>
      </c>
    </row>
    <row r="433" spans="1:9" s="92" customFormat="1" ht="16" x14ac:dyDescent="0.2">
      <c r="A433" s="105">
        <v>1</v>
      </c>
      <c r="B433" s="105"/>
      <c r="C433" s="471"/>
      <c r="F433" s="105" t="s">
        <v>895</v>
      </c>
      <c r="G433" s="105" t="s">
        <v>896</v>
      </c>
      <c r="H433" s="105" t="s">
        <v>897</v>
      </c>
    </row>
    <row r="434" spans="1:9" s="92" customFormat="1" ht="16" x14ac:dyDescent="0.2">
      <c r="A434" s="105">
        <v>2</v>
      </c>
      <c r="B434" s="105"/>
      <c r="C434" s="471"/>
      <c r="F434" s="110" t="s">
        <v>899</v>
      </c>
      <c r="G434" s="110" t="s">
        <v>1027</v>
      </c>
      <c r="H434" s="110" t="s">
        <v>901</v>
      </c>
    </row>
    <row r="435" spans="1:9" s="92" customFormat="1" ht="16" x14ac:dyDescent="0.2">
      <c r="A435" s="105" t="s">
        <v>566</v>
      </c>
      <c r="B435" s="105"/>
      <c r="C435" s="471"/>
      <c r="F435" s="108">
        <v>5.0000000000000001E-3</v>
      </c>
      <c r="G435" s="105"/>
      <c r="H435" s="108">
        <v>5.0000000000000001E-3</v>
      </c>
      <c r="I435" s="92" t="s">
        <v>87</v>
      </c>
    </row>
    <row r="436" spans="1:9" s="92" customFormat="1" ht="16" x14ac:dyDescent="0.2">
      <c r="A436" s="105" t="s">
        <v>566</v>
      </c>
      <c r="B436" s="105"/>
      <c r="C436" s="471"/>
      <c r="F436" s="105">
        <v>24</v>
      </c>
      <c r="G436" s="105"/>
      <c r="H436" s="105">
        <v>36</v>
      </c>
      <c r="I436" s="92" t="s">
        <v>89</v>
      </c>
    </row>
    <row r="437" spans="1:9" s="92" customFormat="1" ht="16" x14ac:dyDescent="0.2">
      <c r="A437" s="110">
        <v>24</v>
      </c>
      <c r="B437" s="474">
        <v>25000</v>
      </c>
      <c r="C437" s="473">
        <v>0</v>
      </c>
      <c r="F437" s="105">
        <v>0</v>
      </c>
      <c r="G437" s="105"/>
      <c r="H437" s="460">
        <f>PV(H435,H436,H438,H439,H440)</f>
        <v>-65742.03247852996</v>
      </c>
      <c r="I437" s="92" t="s">
        <v>281</v>
      </c>
    </row>
    <row r="438" spans="1:9" s="92" customFormat="1" ht="16" x14ac:dyDescent="0.2">
      <c r="A438" s="105">
        <v>15</v>
      </c>
      <c r="B438" s="142"/>
      <c r="C438" s="142">
        <v>2000</v>
      </c>
      <c r="F438" s="472">
        <f>PMT(F435,F436,F437,F439,F440)</f>
        <v>-3568.0320926312843</v>
      </c>
      <c r="G438" s="105"/>
      <c r="H438" s="105">
        <v>2000</v>
      </c>
      <c r="I438" s="92" t="s">
        <v>91</v>
      </c>
    </row>
    <row r="439" spans="1:9" s="92" customFormat="1" ht="16" x14ac:dyDescent="0.2">
      <c r="A439" s="105" t="s">
        <v>566</v>
      </c>
      <c r="B439" s="142"/>
      <c r="C439" s="142">
        <f>C438</f>
        <v>2000</v>
      </c>
      <c r="F439" s="112">
        <f>-H437+B437+C437</f>
        <v>90742.03247852996</v>
      </c>
      <c r="G439" s="470">
        <v>25000</v>
      </c>
      <c r="H439" s="105">
        <v>0</v>
      </c>
      <c r="I439" s="92" t="s">
        <v>105</v>
      </c>
    </row>
    <row r="440" spans="1:9" s="92" customFormat="1" ht="16" x14ac:dyDescent="0.2">
      <c r="A440" s="105" t="s">
        <v>566</v>
      </c>
      <c r="B440" s="142"/>
      <c r="C440" s="142">
        <f>C439</f>
        <v>2000</v>
      </c>
      <c r="F440" s="105">
        <v>0</v>
      </c>
      <c r="G440" s="105"/>
      <c r="H440" s="105">
        <v>0</v>
      </c>
      <c r="I440" s="92" t="s">
        <v>328</v>
      </c>
    </row>
    <row r="441" spans="1:9" s="92" customFormat="1" ht="16" x14ac:dyDescent="0.2">
      <c r="A441" s="105">
        <v>59</v>
      </c>
      <c r="B441" s="142"/>
      <c r="C441" s="142">
        <f>C440</f>
        <v>2000</v>
      </c>
    </row>
    <row r="442" spans="1:9" s="92" customFormat="1" ht="16" x14ac:dyDescent="0.2">
      <c r="G442" s="105"/>
      <c r="H442" s="105"/>
    </row>
    <row r="443" spans="1:9" s="92" customFormat="1" ht="16" x14ac:dyDescent="0.2">
      <c r="A443" s="475" t="s">
        <v>1028</v>
      </c>
      <c r="F443" s="105"/>
      <c r="G443" s="105"/>
      <c r="H443" s="105"/>
    </row>
  </sheetData>
  <mergeCells count="6">
    <mergeCell ref="C71:C74"/>
    <mergeCell ref="C75:C79"/>
    <mergeCell ref="C229:C232"/>
    <mergeCell ref="A1:H1"/>
    <mergeCell ref="E149:F149"/>
    <mergeCell ref="E128:F12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H273"/>
  <sheetViews>
    <sheetView rightToLeft="1" topLeftCell="A116" zoomScale="234" zoomScaleNormal="170" workbookViewId="0">
      <selection activeCell="D124" sqref="D124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30" t="s">
        <v>3155</v>
      </c>
      <c r="B1" s="730"/>
      <c r="C1" s="730"/>
      <c r="D1" s="730"/>
      <c r="E1" s="730"/>
      <c r="F1" s="730"/>
      <c r="G1" s="730"/>
      <c r="H1" s="730"/>
    </row>
    <row r="3" spans="1:8" x14ac:dyDescent="0.2">
      <c r="A3" s="92" t="s">
        <v>2595</v>
      </c>
    </row>
    <row r="4" spans="1:8" x14ac:dyDescent="0.2">
      <c r="A4" s="92" t="s">
        <v>2596</v>
      </c>
    </row>
    <row r="5" spans="1:8" ht="17" thickBot="1" x14ac:dyDescent="0.25"/>
    <row r="6" spans="1:8" x14ac:dyDescent="0.2">
      <c r="A6" s="95" t="s">
        <v>2597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2598</v>
      </c>
      <c r="H7" s="99"/>
    </row>
    <row r="8" spans="1:8" x14ac:dyDescent="0.2">
      <c r="A8" s="98" t="s">
        <v>2599</v>
      </c>
      <c r="H8" s="99"/>
    </row>
    <row r="9" spans="1:8" x14ac:dyDescent="0.2">
      <c r="A9" s="98" t="s">
        <v>2600</v>
      </c>
      <c r="H9" s="99"/>
    </row>
    <row r="10" spans="1:8" ht="17" thickBot="1" x14ac:dyDescent="0.25">
      <c r="A10" s="100" t="s">
        <v>2601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2604</v>
      </c>
      <c r="D12" s="105">
        <v>13</v>
      </c>
      <c r="E12" s="105" t="s">
        <v>2603</v>
      </c>
      <c r="F12" s="105">
        <v>1</v>
      </c>
      <c r="G12" s="105">
        <v>0</v>
      </c>
    </row>
    <row r="14" spans="1:8" x14ac:dyDescent="0.2">
      <c r="A14" s="92" t="s">
        <v>2602</v>
      </c>
      <c r="G14" s="595" t="s">
        <v>740</v>
      </c>
    </row>
    <row r="24" spans="1:8" x14ac:dyDescent="0.2">
      <c r="A24" s="92" t="s">
        <v>2607</v>
      </c>
      <c r="E24" s="594" t="s">
        <v>2606</v>
      </c>
      <c r="F24" s="593" t="s">
        <v>2605</v>
      </c>
    </row>
    <row r="25" spans="1:8" x14ac:dyDescent="0.2">
      <c r="A25" s="92" t="s">
        <v>2608</v>
      </c>
      <c r="E25" s="674">
        <v>3.0000000000000001E-3</v>
      </c>
      <c r="F25" s="466">
        <v>5.0000000000000001E-3</v>
      </c>
      <c r="G25" s="92" t="s">
        <v>87</v>
      </c>
    </row>
    <row r="26" spans="1:8" x14ac:dyDescent="0.2">
      <c r="E26" s="462">
        <v>12</v>
      </c>
      <c r="F26" s="462">
        <v>24</v>
      </c>
      <c r="G26" s="92" t="s">
        <v>89</v>
      </c>
    </row>
    <row r="27" spans="1:8" ht="17" thickBot="1" x14ac:dyDescent="0.25">
      <c r="E27" s="462">
        <f>F27</f>
        <v>1500</v>
      </c>
      <c r="F27" s="462">
        <v>1500</v>
      </c>
      <c r="G27" s="92" t="s">
        <v>91</v>
      </c>
    </row>
    <row r="28" spans="1:8" ht="17" thickBot="1" x14ac:dyDescent="0.25">
      <c r="E28" s="675">
        <f>PV(E25,E26,E27,E29)</f>
        <v>-50303.193583140579</v>
      </c>
      <c r="F28" s="673">
        <f>PV(F25,F26,F27,F29)</f>
        <v>-33844.299332648581</v>
      </c>
      <c r="G28" s="92" t="s">
        <v>281</v>
      </c>
    </row>
    <row r="29" spans="1:8" x14ac:dyDescent="0.2">
      <c r="E29" s="673">
        <f>-F28</f>
        <v>33844.299332648581</v>
      </c>
      <c r="F29" s="462">
        <v>0</v>
      </c>
      <c r="G29" s="92" t="s">
        <v>105</v>
      </c>
    </row>
    <row r="31" spans="1:8" x14ac:dyDescent="0.2">
      <c r="A31" s="130" t="s">
        <v>2609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2610</v>
      </c>
    </row>
    <row r="33" spans="1:8" x14ac:dyDescent="0.2">
      <c r="A33" s="92" t="s">
        <v>2611</v>
      </c>
    </row>
    <row r="34" spans="1:8" x14ac:dyDescent="0.2">
      <c r="A34" s="92" t="s">
        <v>1030</v>
      </c>
    </row>
    <row r="35" spans="1:8" x14ac:dyDescent="0.2">
      <c r="A35" s="92" t="s">
        <v>1031</v>
      </c>
    </row>
    <row r="36" spans="1:8" x14ac:dyDescent="0.2">
      <c r="A36" s="92" t="s">
        <v>1032</v>
      </c>
    </row>
    <row r="37" spans="1:8" x14ac:dyDescent="0.2">
      <c r="A37" s="92" t="s">
        <v>1033</v>
      </c>
    </row>
    <row r="38" spans="1:8" x14ac:dyDescent="0.2">
      <c r="A38" s="92" t="s">
        <v>1034</v>
      </c>
    </row>
    <row r="39" spans="1:8" x14ac:dyDescent="0.2">
      <c r="A39" s="92" t="s">
        <v>1035</v>
      </c>
    </row>
    <row r="41" spans="1:8" x14ac:dyDescent="0.2">
      <c r="A41" s="92" t="s">
        <v>1036</v>
      </c>
    </row>
    <row r="42" spans="1:8" x14ac:dyDescent="0.2">
      <c r="A42" s="92" t="s">
        <v>1037</v>
      </c>
    </row>
    <row r="43" spans="1:8" x14ac:dyDescent="0.2">
      <c r="A43" s="92" t="s">
        <v>1038</v>
      </c>
    </row>
    <row r="44" spans="1:8" x14ac:dyDescent="0.2">
      <c r="A44" s="92" t="s">
        <v>1039</v>
      </c>
    </row>
    <row r="46" spans="1:8" x14ac:dyDescent="0.2">
      <c r="A46" s="130" t="s">
        <v>1040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1041</v>
      </c>
    </row>
    <row r="50" spans="1:8" x14ac:dyDescent="0.2">
      <c r="A50" s="92" t="s">
        <v>65</v>
      </c>
    </row>
    <row r="51" spans="1:8" x14ac:dyDescent="0.2">
      <c r="A51" s="105" t="s">
        <v>1042</v>
      </c>
      <c r="B51" s="92" t="s">
        <v>1043</v>
      </c>
    </row>
    <row r="52" spans="1:8" x14ac:dyDescent="0.2">
      <c r="A52" s="105" t="s">
        <v>1044</v>
      </c>
      <c r="B52" s="92" t="s">
        <v>1045</v>
      </c>
    </row>
    <row r="53" spans="1:8" x14ac:dyDescent="0.2">
      <c r="A53" s="105" t="s">
        <v>69</v>
      </c>
      <c r="B53" s="92" t="s">
        <v>1046</v>
      </c>
    </row>
    <row r="55" spans="1:8" x14ac:dyDescent="0.2">
      <c r="A55" s="130" t="s">
        <v>1047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1048</v>
      </c>
    </row>
    <row r="59" spans="1:8" x14ac:dyDescent="0.2">
      <c r="A59" s="92" t="s">
        <v>65</v>
      </c>
    </row>
    <row r="60" spans="1:8" x14ac:dyDescent="0.2">
      <c r="A60" s="105" t="s">
        <v>1049</v>
      </c>
      <c r="B60" s="92" t="s">
        <v>1050</v>
      </c>
    </row>
    <row r="61" spans="1:8" x14ac:dyDescent="0.2">
      <c r="A61" s="105" t="s">
        <v>1044</v>
      </c>
      <c r="B61" s="92" t="s">
        <v>1051</v>
      </c>
    </row>
    <row r="62" spans="1:8" x14ac:dyDescent="0.2">
      <c r="A62" s="105" t="s">
        <v>69</v>
      </c>
      <c r="B62" s="92" t="s">
        <v>1052</v>
      </c>
    </row>
    <row r="63" spans="1:8" x14ac:dyDescent="0.2">
      <c r="A63" s="105" t="s">
        <v>1053</v>
      </c>
      <c r="B63" s="92" t="s">
        <v>1054</v>
      </c>
    </row>
    <row r="65" spans="1:8" x14ac:dyDescent="0.2">
      <c r="A65" s="130" t="s">
        <v>1055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1056</v>
      </c>
    </row>
    <row r="68" spans="1:8" x14ac:dyDescent="0.2">
      <c r="A68" s="92" t="s">
        <v>65</v>
      </c>
    </row>
    <row r="69" spans="1:8" x14ac:dyDescent="0.2">
      <c r="A69" s="105" t="s">
        <v>1049</v>
      </c>
      <c r="B69" s="92" t="s">
        <v>1057</v>
      </c>
    </row>
    <row r="70" spans="1:8" x14ac:dyDescent="0.2">
      <c r="A70" s="105" t="s">
        <v>67</v>
      </c>
      <c r="B70" s="92" t="s">
        <v>1058</v>
      </c>
    </row>
    <row r="71" spans="1:8" x14ac:dyDescent="0.2">
      <c r="A71" s="105" t="s">
        <v>1053</v>
      </c>
      <c r="B71" s="92" t="s">
        <v>1059</v>
      </c>
    </row>
    <row r="73" spans="1:8" x14ac:dyDescent="0.2">
      <c r="A73" s="130" t="s">
        <v>1060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1061</v>
      </c>
    </row>
    <row r="76" spans="1:8" x14ac:dyDescent="0.2">
      <c r="A76" s="92" t="s">
        <v>65</v>
      </c>
    </row>
    <row r="77" spans="1:8" x14ac:dyDescent="0.2">
      <c r="A77" s="105" t="s">
        <v>1049</v>
      </c>
      <c r="B77" s="92" t="s">
        <v>1062</v>
      </c>
    </row>
    <row r="78" spans="1:8" x14ac:dyDescent="0.2">
      <c r="A78" s="105" t="s">
        <v>1063</v>
      </c>
      <c r="B78" s="92" t="s">
        <v>1064</v>
      </c>
    </row>
    <row r="79" spans="1:8" x14ac:dyDescent="0.2">
      <c r="A79" s="105" t="s">
        <v>1065</v>
      </c>
      <c r="B79" s="92" t="s">
        <v>1066</v>
      </c>
    </row>
    <row r="81" spans="1:8" x14ac:dyDescent="0.2">
      <c r="A81" s="129" t="s">
        <v>3156</v>
      </c>
      <c r="B81" s="676"/>
      <c r="C81" s="676"/>
      <c r="D81" s="676"/>
      <c r="E81" s="676"/>
      <c r="F81" s="676"/>
      <c r="G81" s="676"/>
      <c r="H81" s="676"/>
    </row>
    <row r="83" spans="1:8" x14ac:dyDescent="0.2">
      <c r="A83" s="92" t="s">
        <v>3157</v>
      </c>
    </row>
    <row r="84" spans="1:8" x14ac:dyDescent="0.2">
      <c r="A84" s="92" t="s">
        <v>3158</v>
      </c>
    </row>
    <row r="85" spans="1:8" x14ac:dyDescent="0.2">
      <c r="A85" s="92" t="s">
        <v>3159</v>
      </c>
    </row>
    <row r="86" spans="1:8" x14ac:dyDescent="0.2">
      <c r="A86" s="92" t="s">
        <v>3160</v>
      </c>
    </row>
    <row r="87" spans="1:8" x14ac:dyDescent="0.2">
      <c r="A87" s="92" t="s">
        <v>3161</v>
      </c>
    </row>
    <row r="89" spans="1:8" x14ac:dyDescent="0.2">
      <c r="A89" s="92" t="s">
        <v>111</v>
      </c>
    </row>
    <row r="91" spans="1:8" x14ac:dyDescent="0.2">
      <c r="A91" s="630" t="s">
        <v>3158</v>
      </c>
    </row>
    <row r="92" spans="1:8" x14ac:dyDescent="0.2">
      <c r="A92" s="92" t="s">
        <v>3162</v>
      </c>
    </row>
    <row r="93" spans="1:8" x14ac:dyDescent="0.2">
      <c r="A93" s="92" t="s">
        <v>3163</v>
      </c>
      <c r="H93" s="92" t="s">
        <v>3164</v>
      </c>
    </row>
    <row r="94" spans="1:8" x14ac:dyDescent="0.2">
      <c r="A94" s="92" t="s">
        <v>3165</v>
      </c>
      <c r="H94" s="92" t="s">
        <v>3166</v>
      </c>
    </row>
    <row r="95" spans="1:8" x14ac:dyDescent="0.2">
      <c r="A95" s="92" t="s">
        <v>3167</v>
      </c>
      <c r="H95" s="92" t="s">
        <v>3168</v>
      </c>
    </row>
    <row r="97" spans="1:8" x14ac:dyDescent="0.2">
      <c r="A97" s="92" t="s">
        <v>3169</v>
      </c>
      <c r="H97" s="92" t="s">
        <v>3170</v>
      </c>
    </row>
    <row r="99" spans="1:8" x14ac:dyDescent="0.2">
      <c r="A99" s="92" t="s">
        <v>3171</v>
      </c>
    </row>
    <row r="100" spans="1:8" x14ac:dyDescent="0.2">
      <c r="F100" s="732">
        <f>1.02^12-1</f>
        <v>0.26824179456254527</v>
      </c>
    </row>
    <row r="101" spans="1:8" x14ac:dyDescent="0.2">
      <c r="F101" s="732"/>
    </row>
    <row r="103" spans="1:8" x14ac:dyDescent="0.2">
      <c r="A103" s="92" t="s">
        <v>3172</v>
      </c>
    </row>
    <row r="105" spans="1:8" x14ac:dyDescent="0.2">
      <c r="B105" s="92" t="s">
        <v>65</v>
      </c>
    </row>
    <row r="106" spans="1:8" x14ac:dyDescent="0.2">
      <c r="B106" s="105" t="s">
        <v>1049</v>
      </c>
      <c r="C106" s="92" t="s">
        <v>3173</v>
      </c>
    </row>
    <row r="107" spans="1:8" x14ac:dyDescent="0.2">
      <c r="B107" s="105" t="s">
        <v>1044</v>
      </c>
      <c r="C107" s="92" t="s">
        <v>3174</v>
      </c>
    </row>
    <row r="108" spans="1:8" x14ac:dyDescent="0.2">
      <c r="B108" s="105" t="s">
        <v>69</v>
      </c>
      <c r="C108" s="92" t="s">
        <v>3175</v>
      </c>
    </row>
    <row r="109" spans="1:8" x14ac:dyDescent="0.2">
      <c r="B109" s="105" t="s">
        <v>1053</v>
      </c>
      <c r="C109" s="92" t="s">
        <v>3176</v>
      </c>
    </row>
    <row r="110" spans="1:8" x14ac:dyDescent="0.2">
      <c r="A110" s="92" t="s">
        <v>3179</v>
      </c>
      <c r="B110" s="678" t="s">
        <v>3177</v>
      </c>
    </row>
    <row r="111" spans="1:8" x14ac:dyDescent="0.2">
      <c r="B111" s="678" t="s">
        <v>3178</v>
      </c>
    </row>
    <row r="112" spans="1:8" x14ac:dyDescent="0.2">
      <c r="B112" s="678"/>
    </row>
    <row r="113" spans="1:6" x14ac:dyDescent="0.2">
      <c r="A113" s="92" t="s">
        <v>3180</v>
      </c>
      <c r="B113" s="678"/>
    </row>
    <row r="114" spans="1:6" x14ac:dyDescent="0.2">
      <c r="A114" s="92" t="s">
        <v>3181</v>
      </c>
      <c r="B114" s="678"/>
    </row>
    <row r="115" spans="1:6" x14ac:dyDescent="0.2">
      <c r="A115" s="92" t="s">
        <v>3182</v>
      </c>
      <c r="B115" s="678"/>
    </row>
    <row r="116" spans="1:6" x14ac:dyDescent="0.2">
      <c r="B116" s="678"/>
    </row>
    <row r="117" spans="1:6" x14ac:dyDescent="0.2">
      <c r="B117" s="678"/>
    </row>
    <row r="118" spans="1:6" x14ac:dyDescent="0.2">
      <c r="B118" s="678"/>
    </row>
    <row r="119" spans="1:6" x14ac:dyDescent="0.2">
      <c r="A119" s="630" t="s">
        <v>3159</v>
      </c>
    </row>
    <row r="120" spans="1:6" x14ac:dyDescent="0.2">
      <c r="A120" s="92" t="s">
        <v>3183</v>
      </c>
    </row>
    <row r="121" spans="1:6" x14ac:dyDescent="0.2">
      <c r="A121" s="92" t="s">
        <v>3184</v>
      </c>
    </row>
    <row r="122" spans="1:6" x14ac:dyDescent="0.2">
      <c r="F122" s="679">
        <f>(1.04)^6-1</f>
        <v>0.26531901849600037</v>
      </c>
    </row>
    <row r="123" spans="1:6" x14ac:dyDescent="0.2">
      <c r="A123" s="92" t="s">
        <v>3185</v>
      </c>
    </row>
    <row r="124" spans="1:6" x14ac:dyDescent="0.2">
      <c r="A124" s="92" t="s">
        <v>3186</v>
      </c>
    </row>
    <row r="126" spans="1:6" x14ac:dyDescent="0.2">
      <c r="A126" s="630" t="s">
        <v>3160</v>
      </c>
    </row>
    <row r="127" spans="1:6" x14ac:dyDescent="0.2">
      <c r="A127" s="630"/>
    </row>
    <row r="128" spans="1:6" x14ac:dyDescent="0.2">
      <c r="A128" s="630"/>
    </row>
    <row r="129" spans="1:8" x14ac:dyDescent="0.2">
      <c r="A129" s="630"/>
    </row>
    <row r="130" spans="1:8" x14ac:dyDescent="0.2">
      <c r="A130" s="630" t="s">
        <v>3161</v>
      </c>
    </row>
    <row r="131" spans="1:8" x14ac:dyDescent="0.2">
      <c r="B131" s="678"/>
    </row>
    <row r="132" spans="1:8" x14ac:dyDescent="0.2">
      <c r="B132" s="678"/>
    </row>
    <row r="133" spans="1:8" x14ac:dyDescent="0.2">
      <c r="B133" s="678"/>
    </row>
    <row r="134" spans="1:8" x14ac:dyDescent="0.2">
      <c r="A134" s="676" t="s">
        <v>3187</v>
      </c>
      <c r="B134" s="680"/>
      <c r="C134" s="676"/>
      <c r="D134" s="676"/>
      <c r="E134" s="676"/>
      <c r="F134" s="676"/>
      <c r="G134" s="676"/>
      <c r="H134" s="676"/>
    </row>
    <row r="135" spans="1:8" x14ac:dyDescent="0.2">
      <c r="B135" s="678"/>
    </row>
    <row r="136" spans="1:8" x14ac:dyDescent="0.2">
      <c r="A136" s="92" t="s">
        <v>3188</v>
      </c>
      <c r="B136" s="678"/>
    </row>
    <row r="137" spans="1:8" x14ac:dyDescent="0.2">
      <c r="A137" s="92" t="s">
        <v>3189</v>
      </c>
      <c r="B137" s="678"/>
    </row>
    <row r="138" spans="1:8" x14ac:dyDescent="0.2">
      <c r="B138" s="678"/>
    </row>
    <row r="139" spans="1:8" x14ac:dyDescent="0.2">
      <c r="A139" s="92" t="s">
        <v>111</v>
      </c>
      <c r="B139" s="678"/>
    </row>
    <row r="140" spans="1:8" x14ac:dyDescent="0.2">
      <c r="B140" s="678"/>
    </row>
    <row r="141" spans="1:8" x14ac:dyDescent="0.2">
      <c r="A141" s="92" t="s">
        <v>3190</v>
      </c>
      <c r="B141" s="678"/>
    </row>
    <row r="142" spans="1:8" x14ac:dyDescent="0.2">
      <c r="A142" s="92" t="s">
        <v>3191</v>
      </c>
      <c r="B142" s="678"/>
    </row>
    <row r="143" spans="1:8" x14ac:dyDescent="0.2">
      <c r="A143" s="92" t="s">
        <v>3192</v>
      </c>
      <c r="B143" s="678"/>
    </row>
    <row r="144" spans="1:8" x14ac:dyDescent="0.2">
      <c r="B144" s="678"/>
    </row>
    <row r="145" spans="1:5" x14ac:dyDescent="0.2">
      <c r="B145" s="678"/>
    </row>
    <row r="146" spans="1:5" x14ac:dyDescent="0.2">
      <c r="B146" s="678"/>
    </row>
    <row r="147" spans="1:5" x14ac:dyDescent="0.2">
      <c r="B147" s="678"/>
    </row>
    <row r="148" spans="1:5" x14ac:dyDescent="0.2">
      <c r="A148" s="92" t="s">
        <v>3193</v>
      </c>
      <c r="B148" s="678"/>
    </row>
    <row r="149" spans="1:5" x14ac:dyDescent="0.2">
      <c r="A149" s="92" t="s">
        <v>3194</v>
      </c>
      <c r="B149" s="678"/>
    </row>
    <row r="150" spans="1:5" x14ac:dyDescent="0.2">
      <c r="A150" s="92" t="s">
        <v>3195</v>
      </c>
      <c r="B150" s="678"/>
    </row>
    <row r="151" spans="1:5" x14ac:dyDescent="0.2">
      <c r="A151" s="92" t="s">
        <v>3196</v>
      </c>
      <c r="B151" s="678"/>
    </row>
    <row r="152" spans="1:5" x14ac:dyDescent="0.2">
      <c r="B152" s="678"/>
    </row>
    <row r="153" spans="1:5" x14ac:dyDescent="0.2">
      <c r="A153" s="92" t="s">
        <v>3197</v>
      </c>
      <c r="B153" s="678"/>
    </row>
    <row r="154" spans="1:5" x14ac:dyDescent="0.2">
      <c r="A154" s="92" t="s">
        <v>3198</v>
      </c>
      <c r="B154" s="678"/>
    </row>
    <row r="155" spans="1:5" x14ac:dyDescent="0.2">
      <c r="B155" s="678"/>
    </row>
    <row r="156" spans="1:5" x14ac:dyDescent="0.2">
      <c r="B156" s="678"/>
      <c r="D156" s="677">
        <f>(1+3%/6)^1-1</f>
        <v>4.9999999999998934E-3</v>
      </c>
      <c r="E156" s="92" t="s">
        <v>87</v>
      </c>
    </row>
    <row r="157" spans="1:5" x14ac:dyDescent="0.2">
      <c r="B157" s="678"/>
      <c r="D157" s="92">
        <v>12</v>
      </c>
      <c r="E157" s="92" t="s">
        <v>89</v>
      </c>
    </row>
    <row r="158" spans="1:5" x14ac:dyDescent="0.2">
      <c r="B158" s="678"/>
      <c r="D158" s="92">
        <v>1000</v>
      </c>
      <c r="E158" s="92" t="s">
        <v>91</v>
      </c>
    </row>
    <row r="159" spans="1:5" x14ac:dyDescent="0.2">
      <c r="B159" s="678"/>
      <c r="D159" s="681">
        <f>PV(D156,D157,D158,D160)</f>
        <v>-11618.932066816311</v>
      </c>
      <c r="E159" s="92" t="s">
        <v>281</v>
      </c>
    </row>
    <row r="160" spans="1:5" x14ac:dyDescent="0.2">
      <c r="B160" s="678"/>
      <c r="D160" s="92">
        <v>0</v>
      </c>
      <c r="E160" s="92" t="s">
        <v>105</v>
      </c>
    </row>
    <row r="162" spans="1:8" x14ac:dyDescent="0.2">
      <c r="A162" s="676" t="s">
        <v>3199</v>
      </c>
      <c r="B162" s="676"/>
      <c r="C162" s="676"/>
      <c r="D162" s="676"/>
      <c r="E162" s="676"/>
      <c r="F162" s="676"/>
      <c r="G162" s="676"/>
      <c r="H162" s="676"/>
    </row>
    <row r="163" spans="1:8" x14ac:dyDescent="0.2">
      <c r="A163" s="92" t="s">
        <v>3200</v>
      </c>
    </row>
    <row r="164" spans="1:8" x14ac:dyDescent="0.2">
      <c r="A164" s="92" t="s">
        <v>3201</v>
      </c>
    </row>
    <row r="165" spans="1:8" x14ac:dyDescent="0.2">
      <c r="A165" s="92" t="s">
        <v>3202</v>
      </c>
    </row>
    <row r="167" spans="1:8" x14ac:dyDescent="0.2">
      <c r="A167" s="92" t="s">
        <v>111</v>
      </c>
    </row>
    <row r="169" spans="1:8" x14ac:dyDescent="0.2">
      <c r="A169" s="92" t="s">
        <v>3203</v>
      </c>
    </row>
    <row r="170" spans="1:8" x14ac:dyDescent="0.2">
      <c r="A170" s="92" t="s">
        <v>3204</v>
      </c>
    </row>
    <row r="174" spans="1:8" x14ac:dyDescent="0.2">
      <c r="A174" s="92" t="s">
        <v>3205</v>
      </c>
    </row>
    <row r="175" spans="1:8" x14ac:dyDescent="0.2">
      <c r="A175" s="92" t="s">
        <v>3206</v>
      </c>
    </row>
    <row r="176" spans="1:8" x14ac:dyDescent="0.2">
      <c r="A176" s="92" t="s">
        <v>3207</v>
      </c>
    </row>
    <row r="177" spans="1:5" x14ac:dyDescent="0.2">
      <c r="A177" s="92" t="s">
        <v>3208</v>
      </c>
    </row>
    <row r="179" spans="1:5" x14ac:dyDescent="0.2">
      <c r="A179" s="92" t="s">
        <v>3209</v>
      </c>
    </row>
    <row r="180" spans="1:5" x14ac:dyDescent="0.2">
      <c r="A180" s="92" t="s">
        <v>3211</v>
      </c>
    </row>
    <row r="181" spans="1:5" x14ac:dyDescent="0.2">
      <c r="A181" s="92" t="s">
        <v>3210</v>
      </c>
    </row>
    <row r="182" spans="1:5" x14ac:dyDescent="0.2">
      <c r="A182" s="92" t="s">
        <v>3212</v>
      </c>
    </row>
    <row r="184" spans="1:5" x14ac:dyDescent="0.2">
      <c r="C184" s="92" t="s">
        <v>3213</v>
      </c>
      <c r="E184" s="92" t="s">
        <v>3215</v>
      </c>
    </row>
    <row r="185" spans="1:5" x14ac:dyDescent="0.2">
      <c r="C185" s="92" t="s">
        <v>3214</v>
      </c>
      <c r="E185" s="92" t="s">
        <v>3216</v>
      </c>
    </row>
    <row r="187" spans="1:5" x14ac:dyDescent="0.2">
      <c r="D187" s="134">
        <f>(1+12%/2)^(2/6)-1</f>
        <v>1.9612822422216292E-2</v>
      </c>
      <c r="E187" s="92" t="s">
        <v>87</v>
      </c>
    </row>
    <row r="188" spans="1:5" x14ac:dyDescent="0.2">
      <c r="D188" s="92">
        <v>12</v>
      </c>
      <c r="E188" s="92" t="s">
        <v>89</v>
      </c>
    </row>
    <row r="189" spans="1:5" x14ac:dyDescent="0.2">
      <c r="D189" s="92">
        <v>2000</v>
      </c>
      <c r="E189" s="92" t="s">
        <v>91</v>
      </c>
    </row>
    <row r="190" spans="1:5" x14ac:dyDescent="0.2">
      <c r="D190" s="681">
        <f>PV(D187,D188,D189,D191)</f>
        <v>-21201.0624770125</v>
      </c>
      <c r="E190" s="92" t="s">
        <v>281</v>
      </c>
    </row>
    <row r="191" spans="1:5" x14ac:dyDescent="0.2">
      <c r="D191" s="92">
        <v>0</v>
      </c>
      <c r="E191" s="92" t="s">
        <v>105</v>
      </c>
    </row>
    <row r="194" spans="1:8" x14ac:dyDescent="0.2">
      <c r="A194" s="730" t="s">
        <v>3217</v>
      </c>
      <c r="B194" s="730"/>
      <c r="C194" s="730"/>
      <c r="D194" s="730"/>
      <c r="E194" s="730"/>
      <c r="F194" s="730"/>
      <c r="G194" s="730"/>
      <c r="H194" s="730"/>
    </row>
    <row r="196" spans="1:8" x14ac:dyDescent="0.2">
      <c r="A196" s="129" t="s">
        <v>3218</v>
      </c>
      <c r="B196" s="129"/>
      <c r="C196" s="129"/>
      <c r="D196" s="129"/>
      <c r="E196" s="129"/>
      <c r="F196" s="129"/>
      <c r="G196" s="129"/>
      <c r="H196" s="129"/>
    </row>
    <row r="197" spans="1:8" x14ac:dyDescent="0.2">
      <c r="A197" s="92" t="s">
        <v>1079</v>
      </c>
    </row>
    <row r="198" spans="1:8" x14ac:dyDescent="0.2">
      <c r="A198" s="92" t="s">
        <v>1080</v>
      </c>
    </row>
    <row r="199" spans="1:8" x14ac:dyDescent="0.2">
      <c r="A199" s="92" t="s">
        <v>2624</v>
      </c>
    </row>
    <row r="201" spans="1:8" x14ac:dyDescent="0.2">
      <c r="A201" s="133" t="s">
        <v>1071</v>
      </c>
      <c r="C201" s="598">
        <v>1</v>
      </c>
      <c r="D201" s="110"/>
      <c r="E201" s="110"/>
      <c r="F201" s="111"/>
      <c r="G201" s="110">
        <v>0</v>
      </c>
    </row>
    <row r="202" spans="1:8" x14ac:dyDescent="0.2">
      <c r="C202" s="463">
        <f>-20000*(1+8%)</f>
        <v>-21600</v>
      </c>
      <c r="D202" s="596" t="s">
        <v>1081</v>
      </c>
      <c r="E202" s="597"/>
      <c r="F202" s="597"/>
      <c r="G202" s="463">
        <v>20000</v>
      </c>
    </row>
    <row r="203" spans="1:8" x14ac:dyDescent="0.2">
      <c r="C203" s="462" t="s">
        <v>1082</v>
      </c>
      <c r="D203" s="597"/>
      <c r="E203" s="597"/>
      <c r="F203" s="597"/>
      <c r="G203" s="306" t="s">
        <v>1083</v>
      </c>
    </row>
    <row r="204" spans="1:8" s="306" customFormat="1" x14ac:dyDescent="0.2">
      <c r="C204" s="462" t="s">
        <v>1084</v>
      </c>
      <c r="G204" s="306" t="s">
        <v>1085</v>
      </c>
    </row>
    <row r="205" spans="1:8" s="306" customFormat="1" x14ac:dyDescent="0.2"/>
    <row r="206" spans="1:8" s="306" customFormat="1" x14ac:dyDescent="0.2">
      <c r="E206" s="461">
        <v>0.08</v>
      </c>
      <c r="G206" s="306" t="s">
        <v>1086</v>
      </c>
    </row>
    <row r="207" spans="1:8" s="306" customFormat="1" x14ac:dyDescent="0.2"/>
    <row r="208" spans="1:8" x14ac:dyDescent="0.2">
      <c r="A208" s="92" t="s">
        <v>1087</v>
      </c>
    </row>
    <row r="209" spans="1:8" x14ac:dyDescent="0.2">
      <c r="A209" s="92" t="s">
        <v>2622</v>
      </c>
    </row>
    <row r="210" spans="1:8" x14ac:dyDescent="0.2">
      <c r="A210" s="92" t="s">
        <v>2623</v>
      </c>
    </row>
    <row r="212" spans="1:8" x14ac:dyDescent="0.2">
      <c r="D212" s="92" t="s">
        <v>1088</v>
      </c>
      <c r="E212" s="92" t="s">
        <v>1089</v>
      </c>
    </row>
    <row r="213" spans="1:8" x14ac:dyDescent="0.2">
      <c r="A213" s="133" t="s">
        <v>1073</v>
      </c>
    </row>
    <row r="214" spans="1:8" x14ac:dyDescent="0.2">
      <c r="C214" s="110">
        <v>1</v>
      </c>
      <c r="D214" s="110">
        <v>0.75</v>
      </c>
      <c r="E214" s="110">
        <v>0.5</v>
      </c>
      <c r="F214" s="110">
        <v>0.25</v>
      </c>
      <c r="G214" s="110">
        <v>0</v>
      </c>
    </row>
    <row r="215" spans="1:8" x14ac:dyDescent="0.2">
      <c r="C215" s="478">
        <f>-D215*1.02</f>
        <v>-21648.643199999999</v>
      </c>
      <c r="D215" s="601">
        <f>20808*1.02</f>
        <v>21224.16</v>
      </c>
      <c r="E215" s="600">
        <f>20400*(1+2%)</f>
        <v>20808</v>
      </c>
      <c r="F215" s="600">
        <f>20000*(1+2%)</f>
        <v>20400</v>
      </c>
      <c r="G215" s="599">
        <v>20000</v>
      </c>
    </row>
    <row r="216" spans="1:8" x14ac:dyDescent="0.2">
      <c r="C216" s="597"/>
      <c r="D216" s="597"/>
      <c r="E216" s="597"/>
      <c r="F216" s="597"/>
      <c r="G216" s="597"/>
    </row>
    <row r="217" spans="1:8" x14ac:dyDescent="0.2">
      <c r="C217" s="306" t="s">
        <v>1090</v>
      </c>
      <c r="D217" s="306" t="s">
        <v>1090</v>
      </c>
      <c r="E217" s="306" t="s">
        <v>1090</v>
      </c>
      <c r="F217" s="306"/>
      <c r="G217" s="306" t="s">
        <v>1090</v>
      </c>
    </row>
    <row r="218" spans="1:8" s="306" customFormat="1" x14ac:dyDescent="0.2"/>
    <row r="219" spans="1:8" s="306" customFormat="1" x14ac:dyDescent="0.2">
      <c r="A219" s="306" t="s">
        <v>1091</v>
      </c>
    </row>
    <row r="220" spans="1:8" s="306" customFormat="1" x14ac:dyDescent="0.2">
      <c r="A220" s="306" t="s">
        <v>2625</v>
      </c>
    </row>
    <row r="221" spans="1:8" s="306" customFormat="1" x14ac:dyDescent="0.2"/>
    <row r="222" spans="1:8" s="306" customFormat="1" x14ac:dyDescent="0.2">
      <c r="E222" s="602">
        <f>-C215/G215-1</f>
        <v>8.2432159999999977E-2</v>
      </c>
      <c r="G222" s="306" t="s">
        <v>1092</v>
      </c>
    </row>
    <row r="223" spans="1:8" s="306" customFormat="1" ht="17" thickBot="1" x14ac:dyDescent="0.25"/>
    <row r="224" spans="1:8" ht="17" thickBot="1" x14ac:dyDescent="0.25">
      <c r="A224" s="479" t="s">
        <v>2626</v>
      </c>
      <c r="B224" s="125"/>
      <c r="C224" s="125"/>
      <c r="D224" s="125"/>
      <c r="E224" s="125"/>
      <c r="F224" s="125"/>
      <c r="G224" s="125"/>
      <c r="H224" s="126"/>
    </row>
    <row r="225" spans="1:8" x14ac:dyDescent="0.2">
      <c r="G225" s="731" t="s">
        <v>1093</v>
      </c>
      <c r="H225" s="731"/>
    </row>
    <row r="226" spans="1:8" x14ac:dyDescent="0.2">
      <c r="D226" s="135"/>
      <c r="E226" s="135" t="s">
        <v>1048</v>
      </c>
    </row>
    <row r="227" spans="1:8" x14ac:dyDescent="0.2">
      <c r="D227" s="135"/>
      <c r="E227" s="135"/>
    </row>
    <row r="228" spans="1:8" x14ac:dyDescent="0.2">
      <c r="E228" s="92" t="s">
        <v>1094</v>
      </c>
    </row>
    <row r="229" spans="1:8" x14ac:dyDescent="0.2">
      <c r="A229" s="92" t="s">
        <v>65</v>
      </c>
      <c r="G229" s="92" t="s">
        <v>1095</v>
      </c>
    </row>
    <row r="230" spans="1:8" x14ac:dyDescent="0.2">
      <c r="A230" s="105" t="s">
        <v>1049</v>
      </c>
      <c r="B230" s="92" t="s">
        <v>1050</v>
      </c>
      <c r="G230" s="92" t="s">
        <v>1096</v>
      </c>
    </row>
    <row r="231" spans="1:8" x14ac:dyDescent="0.2">
      <c r="A231" s="105" t="s">
        <v>1044</v>
      </c>
      <c r="B231" s="92" t="s">
        <v>1051</v>
      </c>
    </row>
    <row r="232" spans="1:8" x14ac:dyDescent="0.2">
      <c r="A232" s="105" t="s">
        <v>69</v>
      </c>
      <c r="B232" s="92" t="s">
        <v>1052</v>
      </c>
      <c r="H232" s="92" t="s">
        <v>1097</v>
      </c>
    </row>
    <row r="233" spans="1:8" x14ac:dyDescent="0.2">
      <c r="A233" s="105" t="s">
        <v>1053</v>
      </c>
      <c r="B233" s="92" t="s">
        <v>1054</v>
      </c>
      <c r="H233" s="92" t="s">
        <v>1098</v>
      </c>
    </row>
    <row r="234" spans="1:8" x14ac:dyDescent="0.2">
      <c r="H234" s="92" t="s">
        <v>1099</v>
      </c>
    </row>
    <row r="235" spans="1:8" x14ac:dyDescent="0.2">
      <c r="A235" s="136" t="s">
        <v>1100</v>
      </c>
      <c r="B235" s="137"/>
      <c r="C235" s="137"/>
      <c r="D235" s="137"/>
      <c r="E235" s="137"/>
      <c r="F235" s="137"/>
      <c r="G235" s="137"/>
      <c r="H235" s="138"/>
    </row>
    <row r="236" spans="1:8" x14ac:dyDescent="0.2">
      <c r="A236" s="139" t="s">
        <v>1101</v>
      </c>
      <c r="B236" s="111"/>
      <c r="C236" s="111"/>
      <c r="D236" s="111"/>
      <c r="E236" s="111"/>
      <c r="F236" s="111"/>
      <c r="G236" s="111"/>
      <c r="H236" s="140"/>
    </row>
    <row r="238" spans="1:8" x14ac:dyDescent="0.2">
      <c r="A238" s="129" t="s">
        <v>3219</v>
      </c>
      <c r="B238" s="129"/>
      <c r="C238" s="129"/>
      <c r="D238" s="129"/>
      <c r="E238" s="129"/>
      <c r="F238" s="129"/>
      <c r="G238" s="129"/>
      <c r="H238" s="129"/>
    </row>
    <row r="239" spans="1:8" x14ac:dyDescent="0.2">
      <c r="A239" s="92" t="s">
        <v>1102</v>
      </c>
    </row>
    <row r="240" spans="1:8" x14ac:dyDescent="0.2">
      <c r="A240" s="92" t="s">
        <v>1103</v>
      </c>
      <c r="H240" s="135" t="s">
        <v>1048</v>
      </c>
    </row>
    <row r="241" spans="1:8" x14ac:dyDescent="0.2">
      <c r="A241" s="92" t="s">
        <v>1104</v>
      </c>
      <c r="H241" s="92" t="s">
        <v>1105</v>
      </c>
    </row>
    <row r="242" spans="1:8" x14ac:dyDescent="0.2">
      <c r="A242" s="92" t="s">
        <v>1106</v>
      </c>
      <c r="H242" s="92" t="s">
        <v>1107</v>
      </c>
    </row>
    <row r="243" spans="1:8" x14ac:dyDescent="0.2">
      <c r="A243" s="92" t="s">
        <v>1108</v>
      </c>
      <c r="H243" s="92" t="s">
        <v>1109</v>
      </c>
    </row>
    <row r="244" spans="1:8" x14ac:dyDescent="0.2">
      <c r="A244" s="92" t="s">
        <v>1110</v>
      </c>
      <c r="H244" s="92" t="s">
        <v>1111</v>
      </c>
    </row>
    <row r="246" spans="1:8" x14ac:dyDescent="0.2">
      <c r="A246" s="129" t="s">
        <v>3220</v>
      </c>
      <c r="B246" s="129"/>
      <c r="C246" s="129"/>
      <c r="D246" s="129"/>
      <c r="E246" s="129"/>
      <c r="F246" s="129"/>
      <c r="G246" s="129"/>
      <c r="H246" s="129"/>
    </row>
    <row r="247" spans="1:8" x14ac:dyDescent="0.2">
      <c r="A247" s="92" t="s">
        <v>1112</v>
      </c>
      <c r="H247" s="135" t="s">
        <v>1048</v>
      </c>
    </row>
    <row r="248" spans="1:8" x14ac:dyDescent="0.2">
      <c r="A248" s="92" t="s">
        <v>1113</v>
      </c>
      <c r="F248" s="306"/>
      <c r="G248" s="306"/>
      <c r="H248" s="306" t="s">
        <v>1114</v>
      </c>
    </row>
    <row r="249" spans="1:8" x14ac:dyDescent="0.2">
      <c r="A249" s="92" t="s">
        <v>1115</v>
      </c>
      <c r="G249" s="306"/>
      <c r="H249" s="306" t="s">
        <v>1116</v>
      </c>
    </row>
    <row r="250" spans="1:8" s="306" customFormat="1" x14ac:dyDescent="0.2">
      <c r="A250" s="306" t="s">
        <v>1117</v>
      </c>
      <c r="H250" s="306" t="s">
        <v>1118</v>
      </c>
    </row>
    <row r="251" spans="1:8" s="306" customFormat="1" x14ac:dyDescent="0.2">
      <c r="A251" s="306" t="s">
        <v>1119</v>
      </c>
      <c r="H251" s="306" t="s">
        <v>1120</v>
      </c>
    </row>
    <row r="252" spans="1:8" ht="17" customHeight="1" x14ac:dyDescent="0.2"/>
    <row r="253" spans="1:8" ht="17" customHeight="1" x14ac:dyDescent="0.2">
      <c r="A253" s="92" t="s">
        <v>1121</v>
      </c>
    </row>
    <row r="254" spans="1:8" ht="17" customHeight="1" x14ac:dyDescent="0.2">
      <c r="A254" s="92" t="s">
        <v>1122</v>
      </c>
    </row>
    <row r="255" spans="1:8" ht="17" customHeight="1" x14ac:dyDescent="0.2">
      <c r="A255" s="92" t="s">
        <v>1123</v>
      </c>
    </row>
    <row r="256" spans="1:8" ht="17" customHeight="1" x14ac:dyDescent="0.2"/>
    <row r="257" spans="1:5" ht="17" customHeight="1" x14ac:dyDescent="0.2">
      <c r="A257" s="92" t="s">
        <v>1124</v>
      </c>
      <c r="B257" s="92" t="s">
        <v>1125</v>
      </c>
      <c r="D257" s="92" t="s">
        <v>1126</v>
      </c>
    </row>
    <row r="258" spans="1:5" ht="17" customHeight="1" x14ac:dyDescent="0.2">
      <c r="B258" s="92" t="s">
        <v>1127</v>
      </c>
      <c r="D258" s="92" t="s">
        <v>1128</v>
      </c>
      <c r="E258" s="92" t="s">
        <v>1129</v>
      </c>
    </row>
    <row r="259" spans="1:5" ht="17" customHeight="1" x14ac:dyDescent="0.2">
      <c r="B259" s="92" t="s">
        <v>1130</v>
      </c>
      <c r="D259" s="92">
        <v>4</v>
      </c>
    </row>
    <row r="260" spans="1:5" ht="17" customHeight="1" x14ac:dyDescent="0.2"/>
    <row r="261" spans="1:5" ht="17" customHeight="1" x14ac:dyDescent="0.2">
      <c r="A261" s="92" t="s">
        <v>1131</v>
      </c>
      <c r="B261" s="92" t="s">
        <v>1125</v>
      </c>
      <c r="D261" s="92" t="s">
        <v>1132</v>
      </c>
    </row>
    <row r="262" spans="1:5" ht="17" customHeight="1" x14ac:dyDescent="0.2">
      <c r="B262" s="92" t="s">
        <v>1127</v>
      </c>
      <c r="D262" s="92" t="s">
        <v>1128</v>
      </c>
      <c r="E262" s="92" t="s">
        <v>1129</v>
      </c>
    </row>
    <row r="263" spans="1:5" ht="17" customHeight="1" x14ac:dyDescent="0.2">
      <c r="B263" s="92" t="s">
        <v>1130</v>
      </c>
      <c r="D263" s="92">
        <v>8</v>
      </c>
    </row>
    <row r="264" spans="1:5" ht="17" customHeight="1" x14ac:dyDescent="0.2"/>
    <row r="265" spans="1:5" ht="17" customHeight="1" x14ac:dyDescent="0.2">
      <c r="A265" s="92" t="s">
        <v>1133</v>
      </c>
      <c r="B265" s="92" t="s">
        <v>1125</v>
      </c>
      <c r="D265" s="92" t="s">
        <v>347</v>
      </c>
    </row>
    <row r="266" spans="1:5" ht="17" customHeight="1" x14ac:dyDescent="0.2">
      <c r="B266" s="92" t="s">
        <v>1127</v>
      </c>
      <c r="D266" s="92" t="s">
        <v>1128</v>
      </c>
      <c r="E266" s="92" t="s">
        <v>1129</v>
      </c>
    </row>
    <row r="267" spans="1:5" ht="17" customHeight="1" x14ac:dyDescent="0.2">
      <c r="B267" s="92" t="s">
        <v>1130</v>
      </c>
      <c r="D267" s="92">
        <v>12</v>
      </c>
    </row>
    <row r="268" spans="1:5" ht="17" customHeight="1" x14ac:dyDescent="0.2"/>
    <row r="269" spans="1:5" ht="17" customHeight="1" x14ac:dyDescent="0.2">
      <c r="A269" s="92" t="s">
        <v>1133</v>
      </c>
      <c r="B269" s="92" t="s">
        <v>1125</v>
      </c>
      <c r="D269" s="92" t="s">
        <v>1134</v>
      </c>
    </row>
    <row r="270" spans="1:5" ht="17" customHeight="1" x14ac:dyDescent="0.2">
      <c r="B270" s="92" t="s">
        <v>1127</v>
      </c>
      <c r="D270" s="92" t="s">
        <v>1128</v>
      </c>
      <c r="E270" s="92" t="s">
        <v>1129</v>
      </c>
    </row>
    <row r="271" spans="1:5" ht="17" customHeight="1" x14ac:dyDescent="0.2">
      <c r="B271" s="92" t="s">
        <v>1130</v>
      </c>
      <c r="D271" s="141" t="s">
        <v>1135</v>
      </c>
      <c r="E271" s="92" t="s">
        <v>1136</v>
      </c>
    </row>
    <row r="272" spans="1:5" ht="17" customHeight="1" x14ac:dyDescent="0.2">
      <c r="E272" s="92" t="s">
        <v>1137</v>
      </c>
    </row>
    <row r="273" ht="17" customHeight="1" x14ac:dyDescent="0.2"/>
  </sheetData>
  <mergeCells count="4">
    <mergeCell ref="A1:H1"/>
    <mergeCell ref="G225:H225"/>
    <mergeCell ref="F100:F101"/>
    <mergeCell ref="A194:H194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751"/>
  <sheetViews>
    <sheetView rightToLeft="1" topLeftCell="A684" zoomScale="173" zoomScaleNormal="160" workbookViewId="0">
      <selection activeCell="H192" sqref="H192:H196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30" t="s">
        <v>3221</v>
      </c>
      <c r="B1" s="730"/>
      <c r="C1" s="730"/>
      <c r="D1" s="730"/>
      <c r="E1" s="730"/>
      <c r="F1" s="730"/>
      <c r="G1" s="730"/>
      <c r="H1" s="730"/>
    </row>
    <row r="3" spans="1:8" x14ac:dyDescent="0.2">
      <c r="A3" s="148" t="s">
        <v>1216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1217</v>
      </c>
    </row>
    <row r="5" spans="1:8" x14ac:dyDescent="0.2">
      <c r="A5" s="43" t="s">
        <v>2643</v>
      </c>
    </row>
    <row r="6" spans="1:8" x14ac:dyDescent="0.2">
      <c r="A6" s="43" t="s">
        <v>2644</v>
      </c>
    </row>
    <row r="7" spans="1:8" x14ac:dyDescent="0.2">
      <c r="A7" s="43" t="s">
        <v>2645</v>
      </c>
    </row>
    <row r="9" spans="1:8" x14ac:dyDescent="0.2">
      <c r="A9" s="43" t="s">
        <v>2646</v>
      </c>
    </row>
    <row r="11" spans="1:8" s="92" customFormat="1" ht="16" x14ac:dyDescent="0.2">
      <c r="A11" s="130" t="s">
        <v>1040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1041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1042</v>
      </c>
      <c r="B16" s="92" t="s">
        <v>1043</v>
      </c>
    </row>
    <row r="17" spans="1:8" s="92" customFormat="1" ht="16" x14ac:dyDescent="0.2">
      <c r="A17" s="105" t="s">
        <v>1044</v>
      </c>
      <c r="B17" s="92" t="s">
        <v>1045</v>
      </c>
    </row>
    <row r="18" spans="1:8" s="92" customFormat="1" ht="16" x14ac:dyDescent="0.2">
      <c r="A18" s="105" t="s">
        <v>69</v>
      </c>
      <c r="B18" s="92" t="s">
        <v>1046</v>
      </c>
    </row>
    <row r="19" spans="1:8" s="92" customFormat="1" ht="16" x14ac:dyDescent="0.2"/>
    <row r="20" spans="1:8" s="92" customFormat="1" ht="16" x14ac:dyDescent="0.2">
      <c r="A20" s="130" t="s">
        <v>1047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1048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1049</v>
      </c>
      <c r="B25" s="92" t="s">
        <v>1050</v>
      </c>
    </row>
    <row r="26" spans="1:8" s="92" customFormat="1" ht="16" x14ac:dyDescent="0.2">
      <c r="A26" s="105" t="s">
        <v>1044</v>
      </c>
      <c r="B26" s="92" t="s">
        <v>1051</v>
      </c>
    </row>
    <row r="27" spans="1:8" s="92" customFormat="1" ht="16" x14ac:dyDescent="0.2">
      <c r="A27" s="105" t="s">
        <v>69</v>
      </c>
      <c r="B27" s="92" t="s">
        <v>1052</v>
      </c>
    </row>
    <row r="28" spans="1:8" s="92" customFormat="1" ht="16" x14ac:dyDescent="0.2">
      <c r="A28" s="105" t="s">
        <v>1053</v>
      </c>
      <c r="B28" s="92" t="s">
        <v>1054</v>
      </c>
    </row>
    <row r="29" spans="1:8" s="92" customFormat="1" ht="16" x14ac:dyDescent="0.2"/>
    <row r="30" spans="1:8" s="92" customFormat="1" ht="16" x14ac:dyDescent="0.2">
      <c r="A30" s="130" t="s">
        <v>1055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1056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1049</v>
      </c>
      <c r="B34" s="92" t="s">
        <v>1057</v>
      </c>
    </row>
    <row r="35" spans="1:8" s="92" customFormat="1" ht="16" x14ac:dyDescent="0.2">
      <c r="A35" s="105" t="s">
        <v>67</v>
      </c>
      <c r="B35" s="92" t="s">
        <v>1058</v>
      </c>
    </row>
    <row r="36" spans="1:8" s="92" customFormat="1" ht="16" x14ac:dyDescent="0.2">
      <c r="A36" s="105" t="s">
        <v>1053</v>
      </c>
      <c r="B36" s="92" t="s">
        <v>1059</v>
      </c>
    </row>
    <row r="37" spans="1:8" s="92" customFormat="1" ht="16" x14ac:dyDescent="0.2"/>
    <row r="38" spans="1:8" s="92" customFormat="1" ht="16" x14ac:dyDescent="0.2">
      <c r="A38" s="130" t="s">
        <v>1060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1061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1049</v>
      </c>
      <c r="B42" s="92" t="s">
        <v>1062</v>
      </c>
    </row>
    <row r="43" spans="1:8" s="92" customFormat="1" ht="16" x14ac:dyDescent="0.2">
      <c r="A43" s="105" t="s">
        <v>1063</v>
      </c>
      <c r="B43" s="92" t="s">
        <v>1064</v>
      </c>
    </row>
    <row r="44" spans="1:8" s="92" customFormat="1" ht="16" x14ac:dyDescent="0.2">
      <c r="A44" s="105" t="s">
        <v>1065</v>
      </c>
      <c r="B44" s="92" t="s">
        <v>1066</v>
      </c>
    </row>
    <row r="46" spans="1:8" s="92" customFormat="1" ht="16" x14ac:dyDescent="0.2">
      <c r="A46" s="129" t="s">
        <v>1067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1068</v>
      </c>
    </row>
    <row r="48" spans="1:8" s="92" customFormat="1" ht="16" x14ac:dyDescent="0.2">
      <c r="A48" s="92" t="s">
        <v>2612</v>
      </c>
    </row>
    <row r="49" spans="1:8" s="92" customFormat="1" ht="16" x14ac:dyDescent="0.2">
      <c r="A49" s="92" t="s">
        <v>2613</v>
      </c>
    </row>
    <row r="50" spans="1:8" s="92" customFormat="1" ht="16" x14ac:dyDescent="0.2">
      <c r="A50" s="92" t="s">
        <v>2614</v>
      </c>
    </row>
    <row r="51" spans="1:8" s="92" customFormat="1" ht="16" x14ac:dyDescent="0.2">
      <c r="A51" s="92" t="s">
        <v>2615</v>
      </c>
    </row>
    <row r="52" spans="1:8" s="92" customFormat="1" ht="17" thickBot="1" x14ac:dyDescent="0.25"/>
    <row r="53" spans="1:8" s="92" customFormat="1" ht="16" x14ac:dyDescent="0.2">
      <c r="A53" s="103" t="s">
        <v>1069</v>
      </c>
      <c r="B53" s="96"/>
      <c r="C53" s="96"/>
      <c r="D53" s="96"/>
      <c r="E53" s="96"/>
      <c r="F53" s="96"/>
      <c r="G53" s="96"/>
      <c r="H53" s="97"/>
    </row>
    <row r="54" spans="1:8" s="92" customFormat="1" ht="17" thickBot="1" x14ac:dyDescent="0.25">
      <c r="A54" s="100" t="s">
        <v>1070</v>
      </c>
      <c r="B54" s="101"/>
      <c r="C54" s="101"/>
      <c r="D54" s="101"/>
      <c r="E54" s="101"/>
      <c r="F54" s="101"/>
      <c r="G54" s="101"/>
      <c r="H54" s="102"/>
    </row>
    <row r="55" spans="1:8" s="92" customFormat="1" ht="16" x14ac:dyDescent="0.2"/>
    <row r="56" spans="1:8" s="92" customFormat="1" ht="16" x14ac:dyDescent="0.2">
      <c r="A56" s="92" t="s">
        <v>1071</v>
      </c>
      <c r="D56" s="131">
        <v>7.4999999999999997E-3</v>
      </c>
      <c r="E56" s="105" t="s">
        <v>1072</v>
      </c>
      <c r="G56" s="92" t="s">
        <v>1041</v>
      </c>
    </row>
    <row r="57" spans="1:8" s="92" customFormat="1" ht="16" x14ac:dyDescent="0.2">
      <c r="A57" s="92" t="s">
        <v>1073</v>
      </c>
      <c r="D57" s="131">
        <v>1.4999999999999999E-2</v>
      </c>
      <c r="E57" s="105" t="s">
        <v>1074</v>
      </c>
    </row>
    <row r="58" spans="1:8" s="92" customFormat="1" ht="16" x14ac:dyDescent="0.2">
      <c r="A58" s="92" t="s">
        <v>1075</v>
      </c>
      <c r="D58" s="131">
        <f>9%/4</f>
        <v>2.2499999999999999E-2</v>
      </c>
      <c r="E58" s="105" t="s">
        <v>1076</v>
      </c>
      <c r="F58" s="105" t="s">
        <v>2620</v>
      </c>
      <c r="G58" s="105" t="s">
        <v>1228</v>
      </c>
      <c r="H58" s="92" t="s">
        <v>2616</v>
      </c>
    </row>
    <row r="59" spans="1:8" s="92" customFormat="1" ht="16" x14ac:dyDescent="0.2">
      <c r="A59" s="92" t="s">
        <v>1077</v>
      </c>
      <c r="D59" s="131">
        <v>4.4999999999999998E-2</v>
      </c>
      <c r="E59" s="105" t="s">
        <v>1078</v>
      </c>
      <c r="F59" s="105" t="s">
        <v>2621</v>
      </c>
      <c r="G59" s="105" t="s">
        <v>2619</v>
      </c>
      <c r="H59" s="92" t="s">
        <v>2617</v>
      </c>
    </row>
    <row r="60" spans="1:8" s="92" customFormat="1" ht="16" x14ac:dyDescent="0.2">
      <c r="H60" s="92" t="s">
        <v>2618</v>
      </c>
    </row>
    <row r="61" spans="1:8" s="92" customFormat="1" ht="16" x14ac:dyDescent="0.2">
      <c r="A61" s="129" t="s">
        <v>2627</v>
      </c>
      <c r="B61" s="129"/>
      <c r="C61" s="129"/>
      <c r="D61" s="129"/>
      <c r="E61" s="129"/>
      <c r="F61" s="129"/>
      <c r="G61" s="129"/>
      <c r="H61" s="129"/>
    </row>
    <row r="62" spans="1:8" s="92" customFormat="1" ht="16" x14ac:dyDescent="0.2">
      <c r="A62" s="92" t="s">
        <v>1138</v>
      </c>
    </row>
    <row r="63" spans="1:8" s="92" customFormat="1" ht="16" x14ac:dyDescent="0.2">
      <c r="A63" s="92" t="s">
        <v>1139</v>
      </c>
    </row>
    <row r="64" spans="1:8" s="92" customFormat="1" ht="16" x14ac:dyDescent="0.2">
      <c r="A64" s="92" t="s">
        <v>1140</v>
      </c>
    </row>
    <row r="65" spans="1:8" s="92" customFormat="1" ht="16" x14ac:dyDescent="0.2">
      <c r="A65" s="92" t="s">
        <v>1141</v>
      </c>
    </row>
    <row r="66" spans="1:8" s="92" customFormat="1" ht="16" x14ac:dyDescent="0.2"/>
    <row r="67" spans="1:8" s="92" customFormat="1" ht="16" x14ac:dyDescent="0.2">
      <c r="A67" s="480" t="s">
        <v>1142</v>
      </c>
    </row>
    <row r="68" spans="1:8" s="92" customFormat="1" ht="16" x14ac:dyDescent="0.2">
      <c r="A68" s="92" t="s">
        <v>1143</v>
      </c>
    </row>
    <row r="69" spans="1:8" s="92" customFormat="1" ht="16" x14ac:dyDescent="0.2">
      <c r="E69" s="597"/>
      <c r="F69" s="682" t="s">
        <v>1048</v>
      </c>
    </row>
    <row r="70" spans="1:8" s="306" customFormat="1" ht="16" x14ac:dyDescent="0.2">
      <c r="A70" s="306" t="s">
        <v>1145</v>
      </c>
      <c r="F70" s="306" t="s">
        <v>3230</v>
      </c>
    </row>
    <row r="71" spans="1:8" s="306" customFormat="1" ht="16" x14ac:dyDescent="0.2">
      <c r="A71" s="306" t="s">
        <v>1146</v>
      </c>
      <c r="F71" s="306" t="s">
        <v>1147</v>
      </c>
      <c r="H71" s="306" t="s">
        <v>3222</v>
      </c>
    </row>
    <row r="72" spans="1:8" s="306" customFormat="1" ht="16" x14ac:dyDescent="0.2">
      <c r="A72" s="306" t="s">
        <v>1148</v>
      </c>
      <c r="H72" s="306" t="s">
        <v>3223</v>
      </c>
    </row>
    <row r="73" spans="1:8" s="306" customFormat="1" ht="16" x14ac:dyDescent="0.2">
      <c r="F73" s="306" t="s">
        <v>1149</v>
      </c>
      <c r="H73" s="306" t="s">
        <v>3224</v>
      </c>
    </row>
    <row r="74" spans="1:8" s="306" customFormat="1" ht="16" x14ac:dyDescent="0.2">
      <c r="A74" s="306" t="s">
        <v>3229</v>
      </c>
      <c r="E74" s="603">
        <f>(1.195618^(1/12)-1)*12</f>
        <v>0.1799998544405943</v>
      </c>
      <c r="F74" s="462" t="s">
        <v>197</v>
      </c>
      <c r="H74" s="306" t="s">
        <v>3225</v>
      </c>
    </row>
    <row r="75" spans="1:8" s="306" customFormat="1" ht="16" x14ac:dyDescent="0.2">
      <c r="H75" s="306" t="s">
        <v>3226</v>
      </c>
    </row>
    <row r="76" spans="1:8" s="306" customFormat="1" ht="16" x14ac:dyDescent="0.2">
      <c r="H76" s="306" t="s">
        <v>3227</v>
      </c>
    </row>
    <row r="77" spans="1:8" s="306" customFormat="1" ht="16" x14ac:dyDescent="0.2">
      <c r="H77" s="306" t="s">
        <v>3228</v>
      </c>
    </row>
    <row r="78" spans="1:8" s="92" customFormat="1" ht="16" x14ac:dyDescent="0.2">
      <c r="A78" s="481" t="s">
        <v>1150</v>
      </c>
    </row>
    <row r="79" spans="1:8" s="92" customFormat="1" ht="16" x14ac:dyDescent="0.2">
      <c r="A79" s="117" t="s">
        <v>1151</v>
      </c>
      <c r="B79" s="117"/>
      <c r="C79" s="117"/>
      <c r="D79" s="117"/>
      <c r="E79" s="117"/>
      <c r="F79" s="117"/>
      <c r="G79" s="117"/>
    </row>
    <row r="80" spans="1:8" s="92" customFormat="1" ht="16" x14ac:dyDescent="0.2">
      <c r="A80" s="117" t="s">
        <v>1152</v>
      </c>
      <c r="B80" s="117"/>
      <c r="C80" s="117"/>
      <c r="D80" s="117"/>
      <c r="E80" s="117"/>
      <c r="F80" s="117"/>
      <c r="G80" s="117"/>
    </row>
    <row r="81" spans="1:10" s="92" customFormat="1" ht="17" thickBot="1" x14ac:dyDescent="0.25"/>
    <row r="82" spans="1:10" s="92" customFormat="1" ht="16" x14ac:dyDescent="0.2">
      <c r="A82" s="103" t="s">
        <v>3231</v>
      </c>
      <c r="B82" s="96"/>
      <c r="C82" s="96"/>
      <c r="D82" s="96"/>
      <c r="E82" s="96"/>
      <c r="F82" s="96"/>
      <c r="G82" s="96"/>
      <c r="H82" s="96"/>
      <c r="I82" s="97"/>
    </row>
    <row r="83" spans="1:10" s="92" customFormat="1" ht="17" thickBot="1" x14ac:dyDescent="0.25">
      <c r="A83" s="100" t="s">
        <v>3232</v>
      </c>
      <c r="B83" s="101"/>
      <c r="C83" s="101"/>
      <c r="D83" s="101"/>
      <c r="E83" s="101"/>
      <c r="F83" s="101"/>
      <c r="G83" s="101"/>
      <c r="H83" s="101"/>
      <c r="I83" s="102"/>
    </row>
    <row r="84" spans="1:10" s="92" customFormat="1" ht="16" x14ac:dyDescent="0.2"/>
    <row r="85" spans="1:10" s="92" customFormat="1" ht="16" x14ac:dyDescent="0.2">
      <c r="A85" s="92" t="s">
        <v>3233</v>
      </c>
    </row>
    <row r="86" spans="1:10" s="92" customFormat="1" ht="16" x14ac:dyDescent="0.2">
      <c r="A86" s="92" t="s">
        <v>3234</v>
      </c>
    </row>
    <row r="87" spans="1:10" s="92" customFormat="1" ht="16" x14ac:dyDescent="0.2">
      <c r="A87" s="92" t="s">
        <v>3235</v>
      </c>
    </row>
    <row r="88" spans="1:10" s="92" customFormat="1" ht="16" x14ac:dyDescent="0.2"/>
    <row r="89" spans="1:10" s="92" customFormat="1" ht="16" x14ac:dyDescent="0.2"/>
    <row r="90" spans="1:10" s="92" customFormat="1" ht="17" thickBot="1" x14ac:dyDescent="0.25">
      <c r="B90" s="105"/>
    </row>
    <row r="91" spans="1:10" s="92" customFormat="1" ht="16" x14ac:dyDescent="0.2">
      <c r="A91" s="103" t="s">
        <v>1153</v>
      </c>
      <c r="B91" s="476"/>
      <c r="C91" s="96"/>
      <c r="D91" s="96"/>
      <c r="E91" s="96"/>
      <c r="F91" s="96"/>
      <c r="G91" s="96"/>
      <c r="H91" s="96"/>
      <c r="I91" s="97"/>
    </row>
    <row r="92" spans="1:10" s="92" customFormat="1" ht="16" x14ac:dyDescent="0.2">
      <c r="A92" s="98" t="s">
        <v>1154</v>
      </c>
      <c r="B92" s="105"/>
      <c r="I92" s="99" t="s">
        <v>1144</v>
      </c>
      <c r="J92" s="92">
        <v>1</v>
      </c>
    </row>
    <row r="93" spans="1:10" s="92" customFormat="1" ht="17" thickBot="1" x14ac:dyDescent="0.25">
      <c r="A93" s="100" t="s">
        <v>1155</v>
      </c>
      <c r="B93" s="477"/>
      <c r="C93" s="101"/>
      <c r="D93" s="101"/>
      <c r="E93" s="101"/>
      <c r="F93" s="101"/>
      <c r="G93" s="101"/>
      <c r="H93" s="101"/>
      <c r="I93" s="102" t="s">
        <v>1056</v>
      </c>
      <c r="J93" s="92">
        <v>2</v>
      </c>
    </row>
    <row r="94" spans="1:10" s="92" customFormat="1" ht="16" x14ac:dyDescent="0.2">
      <c r="B94" s="105"/>
    </row>
    <row r="95" spans="1:10" s="92" customFormat="1" ht="16" x14ac:dyDescent="0.2">
      <c r="A95" s="167" t="s">
        <v>2628</v>
      </c>
      <c r="B95" s="516"/>
      <c r="C95" s="167"/>
      <c r="D95" s="167"/>
      <c r="E95" s="167"/>
      <c r="F95" s="167"/>
      <c r="G95" s="167"/>
      <c r="H95" s="167"/>
    </row>
    <row r="96" spans="1:10" s="92" customFormat="1" ht="16" x14ac:dyDescent="0.2">
      <c r="A96" s="92" t="s">
        <v>2629</v>
      </c>
      <c r="B96" s="105"/>
    </row>
    <row r="97" spans="1:5" s="92" customFormat="1" ht="16" x14ac:dyDescent="0.2">
      <c r="A97" s="92" t="s">
        <v>3236</v>
      </c>
      <c r="B97" s="105"/>
    </row>
    <row r="98" spans="1:5" s="92" customFormat="1" ht="16" x14ac:dyDescent="0.2">
      <c r="A98" s="92" t="s">
        <v>2630</v>
      </c>
      <c r="B98" s="105"/>
    </row>
    <row r="99" spans="1:5" s="92" customFormat="1" ht="16" x14ac:dyDescent="0.2">
      <c r="B99" s="105"/>
    </row>
    <row r="100" spans="1:5" s="92" customFormat="1" ht="16" x14ac:dyDescent="0.2">
      <c r="A100" s="92" t="s">
        <v>3237</v>
      </c>
      <c r="B100" s="105"/>
    </row>
    <row r="101" spans="1:5" s="92" customFormat="1" ht="16" x14ac:dyDescent="0.2">
      <c r="A101" s="92" t="s">
        <v>611</v>
      </c>
      <c r="B101" s="105"/>
    </row>
    <row r="102" spans="1:5" s="92" customFormat="1" ht="16" x14ac:dyDescent="0.2">
      <c r="B102" s="105"/>
      <c r="E102" s="134">
        <f>(1+6%/12)^6-1</f>
        <v>3.0377509393764601E-2</v>
      </c>
    </row>
    <row r="103" spans="1:5" s="92" customFormat="1" ht="16" x14ac:dyDescent="0.2">
      <c r="B103" s="105"/>
    </row>
    <row r="104" spans="1:5" s="92" customFormat="1" ht="16" x14ac:dyDescent="0.2">
      <c r="A104" s="92" t="s">
        <v>610</v>
      </c>
      <c r="B104" s="105"/>
      <c r="E104" s="134">
        <f>(1+3.5%)^2-1</f>
        <v>7.1224999999999872E-2</v>
      </c>
    </row>
    <row r="105" spans="1:5" s="92" customFormat="1" ht="16" x14ac:dyDescent="0.2">
      <c r="B105" s="105"/>
    </row>
    <row r="106" spans="1:5" s="92" customFormat="1" ht="16" x14ac:dyDescent="0.2">
      <c r="A106" s="92" t="s">
        <v>2631</v>
      </c>
      <c r="B106" s="105"/>
    </row>
    <row r="107" spans="1:5" s="92" customFormat="1" ht="16" x14ac:dyDescent="0.2">
      <c r="B107" s="105"/>
    </row>
    <row r="108" spans="1:5" s="92" customFormat="1" ht="16" x14ac:dyDescent="0.2">
      <c r="B108" s="105"/>
    </row>
    <row r="109" spans="1:5" s="92" customFormat="1" ht="16" x14ac:dyDescent="0.2"/>
    <row r="110" spans="1:5" s="92" customFormat="1" ht="16" x14ac:dyDescent="0.2"/>
    <row r="111" spans="1:5" s="92" customFormat="1" ht="16" x14ac:dyDescent="0.2"/>
    <row r="112" spans="1:5" s="92" customFormat="1" ht="16" x14ac:dyDescent="0.2"/>
    <row r="113" spans="1:8" s="92" customFormat="1" ht="16" x14ac:dyDescent="0.2"/>
    <row r="114" spans="1:8" s="92" customFormat="1" ht="16" x14ac:dyDescent="0.2"/>
    <row r="115" spans="1:8" s="92" customFormat="1" ht="16" x14ac:dyDescent="0.2"/>
    <row r="116" spans="1:8" s="92" customFormat="1" ht="16" x14ac:dyDescent="0.2"/>
    <row r="117" spans="1:8" s="92" customFormat="1" ht="16" x14ac:dyDescent="0.2"/>
    <row r="118" spans="1:8" s="92" customFormat="1" ht="16" x14ac:dyDescent="0.2"/>
    <row r="119" spans="1:8" s="92" customFormat="1" ht="16" x14ac:dyDescent="0.2">
      <c r="A119" s="129" t="s">
        <v>2647</v>
      </c>
      <c r="B119" s="129"/>
      <c r="C119" s="129"/>
      <c r="D119" s="129"/>
      <c r="E119" s="129"/>
      <c r="F119" s="129"/>
      <c r="G119" s="129"/>
      <c r="H119" s="129"/>
    </row>
    <row r="120" spans="1:8" s="92" customFormat="1" ht="16" x14ac:dyDescent="0.2">
      <c r="A120" s="92" t="s">
        <v>1156</v>
      </c>
    </row>
    <row r="121" spans="1:8" s="92" customFormat="1" ht="16" x14ac:dyDescent="0.2">
      <c r="A121" s="92" t="s">
        <v>1157</v>
      </c>
    </row>
    <row r="122" spans="1:8" s="92" customFormat="1" ht="16" x14ac:dyDescent="0.2">
      <c r="A122" s="92" t="s">
        <v>1158</v>
      </c>
    </row>
    <row r="123" spans="1:8" s="92" customFormat="1" ht="16" x14ac:dyDescent="0.2"/>
    <row r="124" spans="1:8" s="92" customFormat="1" ht="16" x14ac:dyDescent="0.2">
      <c r="A124" s="92" t="s">
        <v>2648</v>
      </c>
    </row>
    <row r="125" spans="1:8" s="92" customFormat="1" ht="16" x14ac:dyDescent="0.2">
      <c r="A125" s="92" t="s">
        <v>2649</v>
      </c>
    </row>
    <row r="126" spans="1:8" s="92" customFormat="1" ht="16" x14ac:dyDescent="0.2">
      <c r="A126" s="92" t="s">
        <v>2650</v>
      </c>
    </row>
    <row r="127" spans="1:8" s="92" customFormat="1" ht="16" x14ac:dyDescent="0.2">
      <c r="A127" s="92" t="s">
        <v>2651</v>
      </c>
    </row>
    <row r="128" spans="1:8" s="92" customFormat="1" ht="16" x14ac:dyDescent="0.2">
      <c r="A128" s="92" t="s">
        <v>2652</v>
      </c>
    </row>
    <row r="129" spans="1:8" s="92" customFormat="1" ht="16" x14ac:dyDescent="0.2"/>
    <row r="130" spans="1:8" s="92" customFormat="1" ht="16" x14ac:dyDescent="0.2">
      <c r="A130" s="92" t="s">
        <v>2653</v>
      </c>
    </row>
    <row r="131" spans="1:8" s="92" customFormat="1" ht="17" thickBot="1" x14ac:dyDescent="0.25">
      <c r="A131" s="92" t="s">
        <v>2654</v>
      </c>
    </row>
    <row r="132" spans="1:8" s="92" customFormat="1" ht="16" x14ac:dyDescent="0.2">
      <c r="D132" s="103"/>
      <c r="E132" s="96"/>
      <c r="F132" s="96"/>
      <c r="G132" s="96"/>
      <c r="H132" s="97" t="s">
        <v>1061</v>
      </c>
    </row>
    <row r="133" spans="1:8" s="92" customFormat="1" ht="16" x14ac:dyDescent="0.2">
      <c r="D133" s="98" t="s">
        <v>65</v>
      </c>
      <c r="H133" s="99"/>
    </row>
    <row r="134" spans="1:8" s="92" customFormat="1" ht="16" x14ac:dyDescent="0.2">
      <c r="D134" s="605" t="s">
        <v>1049</v>
      </c>
      <c r="E134" s="92" t="s">
        <v>1062</v>
      </c>
      <c r="H134" s="99"/>
    </row>
    <row r="135" spans="1:8" s="92" customFormat="1" ht="16" x14ac:dyDescent="0.2">
      <c r="D135" s="605" t="s">
        <v>1063</v>
      </c>
      <c r="E135" s="92" t="s">
        <v>1064</v>
      </c>
      <c r="H135" s="99"/>
    </row>
    <row r="136" spans="1:8" s="92" customFormat="1" ht="17" thickBot="1" x14ac:dyDescent="0.25">
      <c r="D136" s="592" t="s">
        <v>1065</v>
      </c>
      <c r="E136" s="101" t="s">
        <v>1066</v>
      </c>
      <c r="F136" s="101"/>
      <c r="G136" s="101"/>
      <c r="H136" s="102"/>
    </row>
    <row r="137" spans="1:8" s="92" customFormat="1" ht="16" x14ac:dyDescent="0.2">
      <c r="D137" s="105"/>
    </row>
    <row r="138" spans="1:8" s="92" customFormat="1" ht="16" x14ac:dyDescent="0.2">
      <c r="C138" s="105" t="s">
        <v>2661</v>
      </c>
      <c r="D138" s="462" t="s">
        <v>2660</v>
      </c>
      <c r="E138" s="462" t="s">
        <v>2659</v>
      </c>
      <c r="F138" s="462" t="s">
        <v>2658</v>
      </c>
    </row>
    <row r="139" spans="1:8" s="92" customFormat="1" ht="16" x14ac:dyDescent="0.2">
      <c r="A139" s="92" t="s">
        <v>2657</v>
      </c>
      <c r="C139" s="110">
        <v>1</v>
      </c>
      <c r="D139" s="598">
        <v>0.75</v>
      </c>
      <c r="E139" s="598">
        <v>0.5</v>
      </c>
      <c r="F139" s="598">
        <v>0.25</v>
      </c>
      <c r="G139" s="110">
        <v>0</v>
      </c>
      <c r="H139" s="111"/>
    </row>
    <row r="140" spans="1:8" s="92" customFormat="1" ht="16" x14ac:dyDescent="0.2">
      <c r="A140" s="92" t="s">
        <v>1159</v>
      </c>
      <c r="C140" s="306">
        <f>100000*(1+9%/4)^4</f>
        <v>109308.33187890623</v>
      </c>
      <c r="D140" s="462"/>
      <c r="E140" s="462"/>
      <c r="F140" s="683" t="s">
        <v>1160</v>
      </c>
      <c r="G140" s="463">
        <v>100000</v>
      </c>
      <c r="H140" s="92" t="s">
        <v>1161</v>
      </c>
    </row>
    <row r="141" spans="1:8" s="92" customFormat="1" ht="17" thickBot="1" x14ac:dyDescent="0.25">
      <c r="D141" s="604"/>
      <c r="E141" s="604"/>
      <c r="F141" s="604"/>
      <c r="G141" s="462">
        <v>-750</v>
      </c>
      <c r="H141" s="92" t="s">
        <v>2655</v>
      </c>
    </row>
    <row r="142" spans="1:8" s="92" customFormat="1" ht="17" thickBot="1" x14ac:dyDescent="0.25">
      <c r="A142" s="597"/>
      <c r="B142" s="597" t="str">
        <f ca="1">_xlfn.FORMULATEXT(C142)</f>
        <v>=C140</v>
      </c>
      <c r="C142" s="684">
        <f>C140</f>
        <v>109308.33187890623</v>
      </c>
      <c r="D142" s="462" t="s">
        <v>3240</v>
      </c>
      <c r="E142" s="604"/>
      <c r="F142" s="604"/>
      <c r="G142" s="464">
        <f>G140+G141</f>
        <v>99250</v>
      </c>
      <c r="H142" s="92" t="s">
        <v>2656</v>
      </c>
    </row>
    <row r="143" spans="1:8" s="92" customFormat="1" ht="16" x14ac:dyDescent="0.2"/>
    <row r="144" spans="1:8" s="92" customFormat="1" ht="16" x14ac:dyDescent="0.2">
      <c r="A144" s="92" t="s">
        <v>3238</v>
      </c>
    </row>
    <row r="145" spans="1:10" s="92" customFormat="1" ht="16" x14ac:dyDescent="0.2">
      <c r="A145" s="92" t="s">
        <v>3239</v>
      </c>
    </row>
    <row r="146" spans="1:10" s="92" customFormat="1" ht="16" x14ac:dyDescent="0.2"/>
    <row r="147" spans="1:10" s="92" customFormat="1" ht="16" x14ac:dyDescent="0.2"/>
    <row r="148" spans="1:10" s="92" customFormat="1" ht="16" x14ac:dyDescent="0.2"/>
    <row r="149" spans="1:10" s="92" customFormat="1" ht="16" x14ac:dyDescent="0.2">
      <c r="A149" s="92" t="s">
        <v>1163</v>
      </c>
    </row>
    <row r="150" spans="1:10" s="92" customFormat="1" ht="16" x14ac:dyDescent="0.2">
      <c r="A150" s="92" t="s">
        <v>1164</v>
      </c>
    </row>
    <row r="151" spans="1:10" s="92" customFormat="1" ht="16" x14ac:dyDescent="0.2">
      <c r="B151" s="92" t="s">
        <v>2662</v>
      </c>
      <c r="G151" s="92" t="s">
        <v>1061</v>
      </c>
      <c r="H151" s="92" t="s">
        <v>65</v>
      </c>
      <c r="I151" s="92" t="s">
        <v>1065</v>
      </c>
      <c r="J151" s="92" t="s">
        <v>3241</v>
      </c>
    </row>
    <row r="152" spans="1:10" s="92" customFormat="1" ht="16" x14ac:dyDescent="0.2">
      <c r="B152" s="92" t="s">
        <v>196</v>
      </c>
      <c r="G152" s="92" t="s">
        <v>1165</v>
      </c>
      <c r="I152" s="92" t="s">
        <v>1063</v>
      </c>
      <c r="J152" s="92" t="s">
        <v>3242</v>
      </c>
    </row>
    <row r="153" spans="1:10" s="92" customFormat="1" ht="16" x14ac:dyDescent="0.2"/>
    <row r="154" spans="1:10" s="92" customFormat="1" ht="16" x14ac:dyDescent="0.2">
      <c r="A154" s="92" t="s">
        <v>2663</v>
      </c>
    </row>
    <row r="155" spans="1:10" s="92" customFormat="1" ht="16" x14ac:dyDescent="0.2">
      <c r="A155" s="92" t="s">
        <v>2664</v>
      </c>
      <c r="D155" s="92" t="s">
        <v>1048</v>
      </c>
    </row>
    <row r="156" spans="1:10" s="92" customFormat="1" ht="16" x14ac:dyDescent="0.2">
      <c r="A156" s="92" t="s">
        <v>2665</v>
      </c>
    </row>
    <row r="157" spans="1:10" s="92" customFormat="1" ht="16" x14ac:dyDescent="0.2">
      <c r="A157" s="92" t="s">
        <v>2666</v>
      </c>
    </row>
    <row r="158" spans="1:10" s="92" customFormat="1" ht="16" x14ac:dyDescent="0.2">
      <c r="A158" s="92" t="s">
        <v>2667</v>
      </c>
    </row>
    <row r="159" spans="1:10" s="92" customFormat="1" ht="16" x14ac:dyDescent="0.2">
      <c r="A159" s="92" t="s">
        <v>2668</v>
      </c>
    </row>
    <row r="160" spans="1:10" s="92" customFormat="1" ht="16" x14ac:dyDescent="0.2">
      <c r="A160" s="92" t="s">
        <v>2669</v>
      </c>
    </row>
    <row r="161" spans="1:8" s="92" customFormat="1" ht="16" x14ac:dyDescent="0.2"/>
    <row r="162" spans="1:8" s="92" customFormat="1" ht="16" x14ac:dyDescent="0.2">
      <c r="A162" s="92" t="s">
        <v>2670</v>
      </c>
    </row>
    <row r="163" spans="1:8" s="92" customFormat="1" ht="16" x14ac:dyDescent="0.2">
      <c r="A163" s="92" t="s">
        <v>2671</v>
      </c>
    </row>
    <row r="164" spans="1:8" s="92" customFormat="1" ht="16" x14ac:dyDescent="0.2">
      <c r="A164" s="92" t="s">
        <v>2672</v>
      </c>
    </row>
    <row r="165" spans="1:8" s="92" customFormat="1" ht="17" thickBot="1" x14ac:dyDescent="0.25"/>
    <row r="166" spans="1:8" s="92" customFormat="1" ht="16" x14ac:dyDescent="0.2">
      <c r="A166" s="606" t="s">
        <v>2673</v>
      </c>
      <c r="B166" s="607"/>
      <c r="C166" s="607"/>
      <c r="D166" s="607"/>
      <c r="E166" s="607"/>
      <c r="F166" s="607"/>
      <c r="G166" s="607"/>
      <c r="H166" s="608"/>
    </row>
    <row r="167" spans="1:8" s="92" customFormat="1" ht="16" x14ac:dyDescent="0.2">
      <c r="A167" s="609" t="s">
        <v>2674</v>
      </c>
      <c r="B167" s="311"/>
      <c r="C167" s="311"/>
      <c r="D167" s="311"/>
      <c r="E167" s="311"/>
      <c r="F167" s="311"/>
      <c r="G167" s="311"/>
      <c r="H167" s="610"/>
    </row>
    <row r="168" spans="1:8" s="92" customFormat="1" ht="16" x14ac:dyDescent="0.2">
      <c r="A168" s="609" t="s">
        <v>2675</v>
      </c>
      <c r="B168" s="311"/>
      <c r="C168" s="311"/>
      <c r="D168" s="311"/>
      <c r="E168" s="311"/>
      <c r="F168" s="311"/>
      <c r="G168" s="311"/>
      <c r="H168" s="610"/>
    </row>
    <row r="169" spans="1:8" s="92" customFormat="1" ht="16" x14ac:dyDescent="0.2">
      <c r="A169" s="609" t="s">
        <v>2676</v>
      </c>
      <c r="B169" s="311"/>
      <c r="C169" s="311"/>
      <c r="D169" s="311"/>
      <c r="E169" s="311"/>
      <c r="F169" s="311"/>
      <c r="G169" s="311"/>
      <c r="H169" s="610"/>
    </row>
    <row r="170" spans="1:8" s="92" customFormat="1" ht="16" x14ac:dyDescent="0.2">
      <c r="A170" s="609" t="s">
        <v>2677</v>
      </c>
      <c r="B170" s="311"/>
      <c r="C170" s="311"/>
      <c r="D170" s="311"/>
      <c r="E170" s="311"/>
      <c r="F170" s="311"/>
      <c r="G170" s="311"/>
      <c r="H170" s="610"/>
    </row>
    <row r="171" spans="1:8" s="92" customFormat="1" ht="17" thickBot="1" x14ac:dyDescent="0.25">
      <c r="A171" s="611"/>
      <c r="B171" s="612"/>
      <c r="C171" s="612"/>
      <c r="D171" s="612"/>
      <c r="E171" s="612"/>
      <c r="F171" s="612"/>
      <c r="G171" s="612"/>
      <c r="H171" s="613" t="s">
        <v>1061</v>
      </c>
    </row>
    <row r="172" spans="1:8" s="92" customFormat="1" ht="16" x14ac:dyDescent="0.2"/>
    <row r="173" spans="1:8" s="92" customFormat="1" ht="16" x14ac:dyDescent="0.2">
      <c r="A173" s="685" t="s">
        <v>3243</v>
      </c>
      <c r="B173" s="685"/>
      <c r="C173" s="685"/>
      <c r="D173" s="685"/>
      <c r="E173" s="685"/>
      <c r="F173" s="685"/>
      <c r="G173" s="685"/>
      <c r="H173" s="685"/>
    </row>
    <row r="174" spans="1:8" s="92" customFormat="1" ht="16" x14ac:dyDescent="0.2"/>
    <row r="175" spans="1:8" s="92" customFormat="1" ht="16" x14ac:dyDescent="0.2">
      <c r="A175" s="306" t="s">
        <v>3244</v>
      </c>
    </row>
    <row r="176" spans="1:8" s="92" customFormat="1" ht="16" x14ac:dyDescent="0.2">
      <c r="A176" s="92" t="s">
        <v>3245</v>
      </c>
    </row>
    <row r="177" spans="1:8" s="92" customFormat="1" ht="16" x14ac:dyDescent="0.2">
      <c r="A177" s="92" t="s">
        <v>3246</v>
      </c>
    </row>
    <row r="178" spans="1:8" s="92" customFormat="1" ht="16" x14ac:dyDescent="0.2">
      <c r="A178" s="92" t="s">
        <v>3247</v>
      </c>
    </row>
    <row r="179" spans="1:8" s="92" customFormat="1" ht="16" x14ac:dyDescent="0.2">
      <c r="A179" s="92" t="s">
        <v>3251</v>
      </c>
    </row>
    <row r="180" spans="1:8" s="92" customFormat="1" ht="16" x14ac:dyDescent="0.2">
      <c r="A180" s="92" t="s">
        <v>3248</v>
      </c>
    </row>
    <row r="181" spans="1:8" s="92" customFormat="1" ht="16" x14ac:dyDescent="0.2">
      <c r="A181" s="92" t="s">
        <v>3249</v>
      </c>
    </row>
    <row r="182" spans="1:8" s="92" customFormat="1" ht="16" x14ac:dyDescent="0.2"/>
    <row r="183" spans="1:8" s="92" customFormat="1" ht="16" x14ac:dyDescent="0.2">
      <c r="A183" s="92" t="s">
        <v>3250</v>
      </c>
    </row>
    <row r="184" spans="1:8" s="92" customFormat="1" ht="16" x14ac:dyDescent="0.2"/>
    <row r="185" spans="1:8" s="92" customFormat="1" ht="16" x14ac:dyDescent="0.2">
      <c r="B185" s="105">
        <v>1.5</v>
      </c>
      <c r="C185" s="105"/>
      <c r="D185" s="105"/>
      <c r="E185" s="105"/>
      <c r="F185" s="105"/>
      <c r="G185" s="105">
        <v>0</v>
      </c>
    </row>
    <row r="186" spans="1:8" s="92" customFormat="1" ht="16" x14ac:dyDescent="0.2">
      <c r="A186" s="92" t="s">
        <v>3252</v>
      </c>
    </row>
    <row r="187" spans="1:8" s="92" customFormat="1" ht="16" x14ac:dyDescent="0.2">
      <c r="B187" s="112">
        <f>-700000*(1+12%/6)^9</f>
        <v>-836564.79803561757</v>
      </c>
      <c r="C187" s="92" t="s">
        <v>3258</v>
      </c>
      <c r="G187" s="112">
        <v>700000</v>
      </c>
      <c r="H187" s="92" t="s">
        <v>3253</v>
      </c>
    </row>
    <row r="188" spans="1:8" s="92" customFormat="1" ht="16" x14ac:dyDescent="0.2">
      <c r="B188" s="112">
        <v>-8000</v>
      </c>
      <c r="C188" s="92" t="s">
        <v>3257</v>
      </c>
      <c r="G188" s="112">
        <v>-4000</v>
      </c>
      <c r="H188" s="92" t="s">
        <v>3254</v>
      </c>
    </row>
    <row r="189" spans="1:8" s="92" customFormat="1" ht="16" x14ac:dyDescent="0.2">
      <c r="B189" s="113">
        <f>SUM(B186:B188)</f>
        <v>-844564.79803561757</v>
      </c>
      <c r="C189" s="92" t="s">
        <v>3259</v>
      </c>
      <c r="G189" s="112">
        <f>-3%*700000</f>
        <v>-21000</v>
      </c>
      <c r="H189" s="92" t="s">
        <v>3255</v>
      </c>
    </row>
    <row r="190" spans="1:8" s="92" customFormat="1" ht="16" x14ac:dyDescent="0.2">
      <c r="G190" s="113">
        <f>SUM(G187:G189)</f>
        <v>675000</v>
      </c>
      <c r="H190" s="92" t="s">
        <v>3256</v>
      </c>
    </row>
    <row r="191" spans="1:8" s="92" customFormat="1" ht="16" x14ac:dyDescent="0.2"/>
    <row r="192" spans="1:8" s="92" customFormat="1" ht="16" x14ac:dyDescent="0.2">
      <c r="A192" s="480" t="s">
        <v>3260</v>
      </c>
      <c r="H192" s="107" t="s">
        <v>3293</v>
      </c>
    </row>
    <row r="193" spans="1:8" s="92" customFormat="1" ht="16" x14ac:dyDescent="0.2">
      <c r="C193" s="738">
        <f>B189/-G190-1</f>
        <v>0.25120710820091485</v>
      </c>
      <c r="H193" s="107" t="s">
        <v>3294</v>
      </c>
    </row>
    <row r="194" spans="1:8" s="92" customFormat="1" ht="16" x14ac:dyDescent="0.2">
      <c r="C194" s="738"/>
      <c r="H194" s="107" t="s">
        <v>3295</v>
      </c>
    </row>
    <row r="195" spans="1:8" s="92" customFormat="1" ht="16" x14ac:dyDescent="0.2">
      <c r="H195" s="107" t="s">
        <v>3296</v>
      </c>
    </row>
    <row r="196" spans="1:8" s="92" customFormat="1" ht="16" x14ac:dyDescent="0.2">
      <c r="A196" s="480" t="s">
        <v>3261</v>
      </c>
      <c r="H196" s="107" t="s">
        <v>3297</v>
      </c>
    </row>
    <row r="197" spans="1:8" s="92" customFormat="1" ht="16" x14ac:dyDescent="0.2">
      <c r="A197" s="480" t="s">
        <v>3262</v>
      </c>
    </row>
    <row r="198" spans="1:8" s="92" customFormat="1" ht="16" x14ac:dyDescent="0.2">
      <c r="A198" s="480" t="s">
        <v>3263</v>
      </c>
    </row>
    <row r="199" spans="1:8" s="92" customFormat="1" ht="16" x14ac:dyDescent="0.2">
      <c r="A199" s="480"/>
      <c r="H199" s="92" t="s">
        <v>3264</v>
      </c>
    </row>
    <row r="200" spans="1:8" s="92" customFormat="1" ht="16" x14ac:dyDescent="0.2">
      <c r="A200" s="480"/>
      <c r="H200" s="92" t="s">
        <v>3265</v>
      </c>
    </row>
    <row r="201" spans="1:8" s="92" customFormat="1" ht="16" x14ac:dyDescent="0.2">
      <c r="A201" s="480"/>
      <c r="C201" s="687">
        <f>(1+C193)^(1/1.5)-1</f>
        <v>0.16114414154438816</v>
      </c>
      <c r="H201" s="92" t="s">
        <v>3266</v>
      </c>
    </row>
    <row r="202" spans="1:8" s="92" customFormat="1" ht="16" x14ac:dyDescent="0.2">
      <c r="A202" s="480"/>
    </row>
    <row r="203" spans="1:8" s="92" customFormat="1" ht="16" x14ac:dyDescent="0.2">
      <c r="A203" s="688" t="s">
        <v>3243</v>
      </c>
      <c r="B203" s="685"/>
      <c r="C203" s="685"/>
      <c r="D203" s="685"/>
      <c r="E203" s="685"/>
      <c r="F203" s="685"/>
      <c r="G203" s="685"/>
      <c r="H203" s="685"/>
    </row>
    <row r="204" spans="1:8" s="92" customFormat="1" ht="16" x14ac:dyDescent="0.2"/>
    <row r="205" spans="1:8" s="92" customFormat="1" ht="16" x14ac:dyDescent="0.2">
      <c r="A205" s="92" t="s">
        <v>3267</v>
      </c>
    </row>
    <row r="206" spans="1:8" s="92" customFormat="1" ht="16" x14ac:dyDescent="0.2">
      <c r="A206" s="92" t="s">
        <v>3268</v>
      </c>
    </row>
    <row r="207" spans="1:8" s="92" customFormat="1" ht="16" x14ac:dyDescent="0.2">
      <c r="A207" s="92" t="s">
        <v>3269</v>
      </c>
    </row>
    <row r="208" spans="1:8" s="92" customFormat="1" ht="16" x14ac:dyDescent="0.2">
      <c r="A208" s="92" t="s">
        <v>3270</v>
      </c>
    </row>
    <row r="209" spans="1:8" s="92" customFormat="1" ht="16" x14ac:dyDescent="0.2">
      <c r="A209" s="92" t="s">
        <v>3271</v>
      </c>
    </row>
    <row r="210" spans="1:8" s="92" customFormat="1" ht="16" x14ac:dyDescent="0.2">
      <c r="A210" s="92" t="s">
        <v>3272</v>
      </c>
    </row>
    <row r="211" spans="1:8" s="92" customFormat="1" ht="16" x14ac:dyDescent="0.2"/>
    <row r="212" spans="1:8" s="92" customFormat="1" ht="16" x14ac:dyDescent="0.2">
      <c r="A212" s="92" t="s">
        <v>3273</v>
      </c>
    </row>
    <row r="213" spans="1:8" s="92" customFormat="1" ht="16" x14ac:dyDescent="0.2"/>
    <row r="214" spans="1:8" s="92" customFormat="1" ht="16" x14ac:dyDescent="0.2">
      <c r="A214" s="92" t="s">
        <v>3274</v>
      </c>
      <c r="C214" s="105">
        <v>2</v>
      </c>
      <c r="G214" s="105">
        <v>0</v>
      </c>
    </row>
    <row r="215" spans="1:8" s="92" customFormat="1" ht="16" x14ac:dyDescent="0.2"/>
    <row r="216" spans="1:8" s="92" customFormat="1" ht="16" x14ac:dyDescent="0.2">
      <c r="C216" s="112">
        <f>100000*(1+6%/2)^4+15000</f>
        <v>127550.88099999999</v>
      </c>
      <c r="D216" s="92" t="s">
        <v>3240</v>
      </c>
      <c r="G216" s="112">
        <f>-100000+4000</f>
        <v>-96000</v>
      </c>
      <c r="H216" s="92" t="s">
        <v>2689</v>
      </c>
    </row>
    <row r="217" spans="1:8" s="92" customFormat="1" ht="16" x14ac:dyDescent="0.2"/>
    <row r="218" spans="1:8" s="92" customFormat="1" ht="16" x14ac:dyDescent="0.2">
      <c r="B218" s="92" t="s">
        <v>3283</v>
      </c>
      <c r="G218" s="92" t="s">
        <v>3276</v>
      </c>
    </row>
    <row r="219" spans="1:8" s="92" customFormat="1" ht="16" x14ac:dyDescent="0.2">
      <c r="B219" s="92" t="s">
        <v>3284</v>
      </c>
      <c r="G219" s="92" t="s">
        <v>3277</v>
      </c>
    </row>
    <row r="220" spans="1:8" s="92" customFormat="1" ht="16" x14ac:dyDescent="0.2">
      <c r="D220" s="92" t="s">
        <v>3285</v>
      </c>
      <c r="G220" s="92" t="s">
        <v>3278</v>
      </c>
    </row>
    <row r="221" spans="1:8" s="92" customFormat="1" ht="16" x14ac:dyDescent="0.2">
      <c r="B221" s="739" t="s">
        <v>3286</v>
      </c>
      <c r="C221" s="739"/>
      <c r="D221" s="739"/>
      <c r="E221" s="739"/>
      <c r="F221" s="597"/>
      <c r="G221" s="306" t="s">
        <v>3279</v>
      </c>
    </row>
    <row r="222" spans="1:8" s="92" customFormat="1" ht="16" x14ac:dyDescent="0.2">
      <c r="B222" s="92" t="s">
        <v>3287</v>
      </c>
      <c r="D222" s="689"/>
      <c r="E222" s="597"/>
      <c r="F222" s="597"/>
      <c r="G222" s="306" t="s">
        <v>3280</v>
      </c>
    </row>
    <row r="223" spans="1:8" s="92" customFormat="1" ht="16" x14ac:dyDescent="0.2">
      <c r="D223" s="92" t="s">
        <v>3288</v>
      </c>
      <c r="E223" s="597"/>
      <c r="F223" s="597"/>
      <c r="G223" s="306" t="s">
        <v>3281</v>
      </c>
    </row>
    <row r="224" spans="1:8" s="92" customFormat="1" ht="16" x14ac:dyDescent="0.2">
      <c r="D224" s="689"/>
      <c r="E224" s="597"/>
      <c r="F224" s="597"/>
      <c r="G224" s="306" t="s">
        <v>3282</v>
      </c>
    </row>
    <row r="225" spans="1:4" s="92" customFormat="1" ht="16" x14ac:dyDescent="0.2"/>
    <row r="226" spans="1:4" s="92" customFormat="1" ht="16" x14ac:dyDescent="0.2"/>
    <row r="227" spans="1:4" s="92" customFormat="1" ht="16" x14ac:dyDescent="0.2"/>
    <row r="228" spans="1:4" s="92" customFormat="1" ht="16" x14ac:dyDescent="0.2">
      <c r="B228" s="93" t="s">
        <v>3289</v>
      </c>
    </row>
    <row r="229" spans="1:4" s="92" customFormat="1" ht="16" x14ac:dyDescent="0.2"/>
    <row r="230" spans="1:4" s="92" customFormat="1" ht="16" x14ac:dyDescent="0.2"/>
    <row r="231" spans="1:4" s="92" customFormat="1" ht="16" x14ac:dyDescent="0.2"/>
    <row r="232" spans="1:4" s="92" customFormat="1" ht="16" x14ac:dyDescent="0.2">
      <c r="A232" s="93" t="s">
        <v>3292</v>
      </c>
      <c r="B232" s="92" t="s">
        <v>3290</v>
      </c>
    </row>
    <row r="233" spans="1:4" s="92" customFormat="1" ht="16" x14ac:dyDescent="0.2">
      <c r="B233" s="92" t="s">
        <v>3291</v>
      </c>
    </row>
    <row r="234" spans="1:4" s="92" customFormat="1" ht="16" x14ac:dyDescent="0.2"/>
    <row r="235" spans="1:4" s="92" customFormat="1" ht="16" x14ac:dyDescent="0.2">
      <c r="A235" s="92" t="s">
        <v>3275</v>
      </c>
    </row>
    <row r="236" spans="1:4" s="92" customFormat="1" ht="16" x14ac:dyDescent="0.2"/>
    <row r="237" spans="1:4" s="92" customFormat="1" ht="16" x14ac:dyDescent="0.2"/>
    <row r="238" spans="1:4" s="92" customFormat="1" ht="16" x14ac:dyDescent="0.2"/>
    <row r="239" spans="1:4" s="92" customFormat="1" ht="16" x14ac:dyDescent="0.2">
      <c r="D239" s="686">
        <f>1.08^2-1</f>
        <v>0.1664000000000001</v>
      </c>
    </row>
    <row r="240" spans="1:4" s="92" customFormat="1" ht="16" x14ac:dyDescent="0.2"/>
    <row r="241" spans="1:8" s="92" customFormat="1" ht="16" x14ac:dyDescent="0.2"/>
    <row r="242" spans="1:8" s="92" customFormat="1" ht="16" x14ac:dyDescent="0.2"/>
    <row r="243" spans="1:8" s="92" customFormat="1" ht="16" x14ac:dyDescent="0.2"/>
    <row r="244" spans="1:8" s="92" customFormat="1" ht="16" x14ac:dyDescent="0.2"/>
    <row r="245" spans="1:8" s="92" customFormat="1" ht="16" x14ac:dyDescent="0.2">
      <c r="A245" s="129" t="s">
        <v>2632</v>
      </c>
      <c r="B245" s="129"/>
      <c r="C245" s="129"/>
      <c r="D245" s="129"/>
      <c r="E245" s="129" t="s">
        <v>780</v>
      </c>
      <c r="F245" s="129"/>
      <c r="G245" s="129"/>
      <c r="H245" s="129"/>
    </row>
    <row r="246" spans="1:8" s="92" customFormat="1" ht="16" x14ac:dyDescent="0.2">
      <c r="A246" s="92" t="s">
        <v>1167</v>
      </c>
    </row>
    <row r="247" spans="1:8" s="92" customFormat="1" ht="16" x14ac:dyDescent="0.2">
      <c r="A247" s="92" t="s">
        <v>1168</v>
      </c>
    </row>
    <row r="248" spans="1:8" s="92" customFormat="1" ht="16" x14ac:dyDescent="0.2"/>
    <row r="249" spans="1:8" s="92" customFormat="1" ht="16" x14ac:dyDescent="0.2">
      <c r="A249" s="92" t="s">
        <v>1169</v>
      </c>
    </row>
    <row r="250" spans="1:8" s="92" customFormat="1" ht="16" x14ac:dyDescent="0.2">
      <c r="A250" s="92" t="s">
        <v>1170</v>
      </c>
    </row>
    <row r="251" spans="1:8" s="92" customFormat="1" ht="16" x14ac:dyDescent="0.2"/>
    <row r="252" spans="1:8" s="92" customFormat="1" ht="16" x14ac:dyDescent="0.2">
      <c r="B252" s="110">
        <v>1</v>
      </c>
      <c r="C252" s="110"/>
      <c r="D252" s="110"/>
      <c r="E252" s="110"/>
      <c r="F252" s="110"/>
      <c r="G252" s="110">
        <v>0</v>
      </c>
    </row>
    <row r="253" spans="1:8" s="92" customFormat="1" ht="16" x14ac:dyDescent="0.2">
      <c r="B253" s="142">
        <f>-G253</f>
        <v>-100</v>
      </c>
      <c r="F253" s="92" t="s">
        <v>1171</v>
      </c>
      <c r="G253" s="105">
        <v>100</v>
      </c>
      <c r="H253" s="92" t="s">
        <v>1161</v>
      </c>
    </row>
    <row r="254" spans="1:8" s="92" customFormat="1" ht="16" x14ac:dyDescent="0.2">
      <c r="G254" s="105">
        <v>-6</v>
      </c>
      <c r="H254" s="92" t="s">
        <v>1172</v>
      </c>
    </row>
    <row r="255" spans="1:8" s="92" customFormat="1" ht="16" x14ac:dyDescent="0.2">
      <c r="G255" s="142">
        <f>G253+G254</f>
        <v>94</v>
      </c>
      <c r="H255" s="92" t="s">
        <v>1162</v>
      </c>
    </row>
    <row r="256" spans="1:8" s="92" customFormat="1" ht="16" x14ac:dyDescent="0.2"/>
    <row r="257" spans="1:8" s="92" customFormat="1" ht="16" x14ac:dyDescent="0.2">
      <c r="G257" s="92" t="s">
        <v>1173</v>
      </c>
    </row>
    <row r="258" spans="1:8" s="92" customFormat="1" ht="16" x14ac:dyDescent="0.2"/>
    <row r="259" spans="1:8" s="92" customFormat="1" ht="16" x14ac:dyDescent="0.2">
      <c r="A259" s="92" t="s">
        <v>1174</v>
      </c>
    </row>
    <row r="260" spans="1:8" s="92" customFormat="1" ht="16" x14ac:dyDescent="0.2">
      <c r="A260" s="92" t="s">
        <v>1175</v>
      </c>
    </row>
    <row r="261" spans="1:8" s="92" customFormat="1" ht="16" x14ac:dyDescent="0.2">
      <c r="A261" s="92" t="s">
        <v>1176</v>
      </c>
    </row>
    <row r="262" spans="1:8" s="92" customFormat="1" ht="16" x14ac:dyDescent="0.2">
      <c r="A262" s="92" t="s">
        <v>1177</v>
      </c>
    </row>
    <row r="263" spans="1:8" s="92" customFormat="1" ht="16" x14ac:dyDescent="0.2"/>
    <row r="264" spans="1:8" s="92" customFormat="1" ht="15" customHeight="1" x14ac:dyDescent="0.2">
      <c r="A264" s="129" t="s">
        <v>1238</v>
      </c>
      <c r="B264" s="129"/>
      <c r="C264" s="129"/>
      <c r="D264" s="129"/>
      <c r="E264" s="129" t="s">
        <v>780</v>
      </c>
      <c r="F264" s="129"/>
      <c r="G264" s="129"/>
      <c r="H264" s="129"/>
    </row>
    <row r="265" spans="1:8" s="92" customFormat="1" ht="16" x14ac:dyDescent="0.2">
      <c r="A265" s="92" t="s">
        <v>1179</v>
      </c>
    </row>
    <row r="266" spans="1:8" s="92" customFormat="1" ht="16" x14ac:dyDescent="0.2">
      <c r="A266" s="92" t="s">
        <v>1180</v>
      </c>
    </row>
    <row r="267" spans="1:8" s="92" customFormat="1" ht="16" x14ac:dyDescent="0.2">
      <c r="A267" s="92" t="s">
        <v>1181</v>
      </c>
    </row>
    <row r="268" spans="1:8" s="92" customFormat="1" ht="16" x14ac:dyDescent="0.2">
      <c r="A268" s="92" t="s">
        <v>1182</v>
      </c>
    </row>
    <row r="269" spans="1:8" s="92" customFormat="1" ht="16" x14ac:dyDescent="0.2"/>
    <row r="270" spans="1:8" s="92" customFormat="1" ht="16" x14ac:dyDescent="0.2">
      <c r="A270" s="92" t="s">
        <v>1183</v>
      </c>
      <c r="G270" s="92" t="s">
        <v>1048</v>
      </c>
    </row>
    <row r="271" spans="1:8" s="92" customFormat="1" ht="16" x14ac:dyDescent="0.2"/>
    <row r="272" spans="1:8" s="92" customFormat="1" ht="16" x14ac:dyDescent="0.2">
      <c r="A272" s="92" t="s">
        <v>65</v>
      </c>
    </row>
    <row r="273" spans="1:8" s="92" customFormat="1" ht="16" x14ac:dyDescent="0.2">
      <c r="A273" s="105" t="s">
        <v>1049</v>
      </c>
      <c r="B273" s="92" t="s">
        <v>1050</v>
      </c>
    </row>
    <row r="274" spans="1:8" s="92" customFormat="1" ht="16" x14ac:dyDescent="0.2">
      <c r="A274" s="105" t="s">
        <v>1044</v>
      </c>
      <c r="B274" s="92" t="s">
        <v>1051</v>
      </c>
    </row>
    <row r="275" spans="1:8" s="92" customFormat="1" ht="16" x14ac:dyDescent="0.2">
      <c r="A275" s="105" t="s">
        <v>69</v>
      </c>
      <c r="B275" s="92" t="s">
        <v>1052</v>
      </c>
    </row>
    <row r="276" spans="1:8" s="92" customFormat="1" ht="16" x14ac:dyDescent="0.2">
      <c r="A276" s="105" t="s">
        <v>1053</v>
      </c>
      <c r="B276" s="92" t="s">
        <v>1054</v>
      </c>
    </row>
    <row r="277" spans="1:8" s="92" customFormat="1" ht="16" x14ac:dyDescent="0.2"/>
    <row r="278" spans="1:8" s="92" customFormat="1" ht="16" x14ac:dyDescent="0.2">
      <c r="A278" s="92" t="s">
        <v>1184</v>
      </c>
    </row>
    <row r="279" spans="1:8" s="92" customFormat="1" ht="16" x14ac:dyDescent="0.2">
      <c r="A279" s="105" t="s">
        <v>695</v>
      </c>
      <c r="G279" s="92" t="s">
        <v>1185</v>
      </c>
    </row>
    <row r="280" spans="1:8" s="92" customFormat="1" ht="16" x14ac:dyDescent="0.2">
      <c r="A280" s="105" t="s">
        <v>696</v>
      </c>
      <c r="G280" s="92" t="s">
        <v>1186</v>
      </c>
    </row>
    <row r="281" spans="1:8" s="92" customFormat="1" ht="16" x14ac:dyDescent="0.2">
      <c r="A281" s="105" t="s">
        <v>1187</v>
      </c>
      <c r="G281" s="92" t="s">
        <v>1188</v>
      </c>
    </row>
    <row r="282" spans="1:8" s="92" customFormat="1" ht="16" x14ac:dyDescent="0.2"/>
    <row r="283" spans="1:8" s="92" customFormat="1" ht="16" x14ac:dyDescent="0.2">
      <c r="A283" s="129" t="s">
        <v>729</v>
      </c>
      <c r="B283" s="129"/>
      <c r="C283" s="129"/>
      <c r="D283" s="143"/>
      <c r="E283" s="129" t="s">
        <v>780</v>
      </c>
      <c r="F283" s="129"/>
      <c r="G283" s="129"/>
      <c r="H283" s="129"/>
    </row>
    <row r="284" spans="1:8" s="92" customFormat="1" ht="16" x14ac:dyDescent="0.2">
      <c r="A284" s="92" t="s">
        <v>1190</v>
      </c>
    </row>
    <row r="285" spans="1:8" s="92" customFormat="1" ht="16" x14ac:dyDescent="0.2">
      <c r="A285" s="92" t="s">
        <v>1191</v>
      </c>
    </row>
    <row r="286" spans="1:8" s="92" customFormat="1" ht="16" x14ac:dyDescent="0.2"/>
    <row r="287" spans="1:8" s="92" customFormat="1" ht="16" x14ac:dyDescent="0.2">
      <c r="A287" s="92" t="s">
        <v>1183</v>
      </c>
      <c r="G287" s="92" t="s">
        <v>1048</v>
      </c>
    </row>
    <row r="288" spans="1:8" s="92" customFormat="1" ht="16" x14ac:dyDescent="0.2"/>
    <row r="289" spans="1:8" s="92" customFormat="1" ht="16" x14ac:dyDescent="0.2">
      <c r="A289" s="92" t="s">
        <v>65</v>
      </c>
    </row>
    <row r="290" spans="1:8" s="92" customFormat="1" ht="16" x14ac:dyDescent="0.2">
      <c r="A290" s="105" t="s">
        <v>1049</v>
      </c>
      <c r="B290" s="92" t="s">
        <v>1050</v>
      </c>
    </row>
    <row r="291" spans="1:8" s="92" customFormat="1" ht="16" x14ac:dyDescent="0.2">
      <c r="A291" s="105" t="s">
        <v>1044</v>
      </c>
      <c r="B291" s="92" t="s">
        <v>1051</v>
      </c>
    </row>
    <row r="292" spans="1:8" s="92" customFormat="1" ht="16" x14ac:dyDescent="0.2">
      <c r="A292" s="105" t="s">
        <v>69</v>
      </c>
      <c r="B292" s="92" t="s">
        <v>1052</v>
      </c>
    </row>
    <row r="293" spans="1:8" s="92" customFormat="1" ht="16" x14ac:dyDescent="0.2">
      <c r="A293" s="105" t="s">
        <v>1053</v>
      </c>
      <c r="B293" s="92" t="s">
        <v>1054</v>
      </c>
    </row>
    <row r="294" spans="1:8" s="92" customFormat="1" ht="16" x14ac:dyDescent="0.2"/>
    <row r="295" spans="1:8" s="92" customFormat="1" ht="16" x14ac:dyDescent="0.2">
      <c r="A295" s="92" t="s">
        <v>1192</v>
      </c>
      <c r="E295" s="134">
        <f>1.01^6-1</f>
        <v>6.1520150601000134E-2</v>
      </c>
      <c r="G295" s="92" t="s">
        <v>1193</v>
      </c>
    </row>
    <row r="296" spans="1:8" s="92" customFormat="1" ht="16" x14ac:dyDescent="0.2"/>
    <row r="297" spans="1:8" s="92" customFormat="1" ht="16" x14ac:dyDescent="0.2">
      <c r="A297" s="92" t="s">
        <v>1194</v>
      </c>
    </row>
    <row r="298" spans="1:8" s="92" customFormat="1" ht="16" x14ac:dyDescent="0.2">
      <c r="A298" s="92" t="s">
        <v>1195</v>
      </c>
    </row>
    <row r="299" spans="1:8" s="92" customFormat="1" ht="16" x14ac:dyDescent="0.2">
      <c r="A299" s="92" t="s">
        <v>1196</v>
      </c>
    </row>
    <row r="300" spans="1:8" s="92" customFormat="1" ht="16" x14ac:dyDescent="0.2"/>
    <row r="301" spans="1:8" s="92" customFormat="1" ht="16" x14ac:dyDescent="0.2"/>
    <row r="302" spans="1:8" s="92" customFormat="1" ht="16" x14ac:dyDescent="0.2">
      <c r="A302" s="129" t="s">
        <v>2678</v>
      </c>
      <c r="B302" s="129"/>
      <c r="C302" s="129"/>
      <c r="D302" s="129"/>
      <c r="E302" s="129"/>
      <c r="F302" s="129"/>
      <c r="G302" s="129"/>
      <c r="H302" s="129"/>
    </row>
    <row r="303" spans="1:8" s="92" customFormat="1" ht="16" x14ac:dyDescent="0.2">
      <c r="A303" s="92" t="s">
        <v>2682</v>
      </c>
    </row>
    <row r="304" spans="1:8" s="92" customFormat="1" ht="16" x14ac:dyDescent="0.2"/>
    <row r="305" spans="1:8" s="92" customFormat="1" ht="16" x14ac:dyDescent="0.2">
      <c r="A305" s="92" t="s">
        <v>111</v>
      </c>
    </row>
    <row r="306" spans="1:8" s="92" customFormat="1" ht="16" x14ac:dyDescent="0.2">
      <c r="A306" s="92" t="s">
        <v>2679</v>
      </c>
    </row>
    <row r="307" spans="1:8" s="92" customFormat="1" ht="16" x14ac:dyDescent="0.2">
      <c r="A307" s="92" t="s">
        <v>2680</v>
      </c>
    </row>
    <row r="308" spans="1:8" s="92" customFormat="1" ht="16" x14ac:dyDescent="0.2">
      <c r="A308" s="92" t="s">
        <v>2681</v>
      </c>
    </row>
    <row r="309" spans="1:8" s="92" customFormat="1" ht="17" thickBot="1" x14ac:dyDescent="0.25"/>
    <row r="310" spans="1:8" s="92" customFormat="1" ht="17" thickBot="1" x14ac:dyDescent="0.25">
      <c r="A310" s="124" t="s">
        <v>1055</v>
      </c>
      <c r="B310" s="125"/>
      <c r="C310" s="125"/>
      <c r="D310" s="125"/>
      <c r="E310" s="125"/>
      <c r="F310" s="125"/>
      <c r="G310" s="125"/>
      <c r="H310" s="126"/>
    </row>
    <row r="311" spans="1:8" s="92" customFormat="1" ht="16" x14ac:dyDescent="0.2"/>
    <row r="312" spans="1:8" s="92" customFormat="1" ht="16" x14ac:dyDescent="0.2">
      <c r="E312" s="92" t="s">
        <v>1056</v>
      </c>
    </row>
    <row r="313" spans="1:8" s="92" customFormat="1" ht="16" x14ac:dyDescent="0.2">
      <c r="A313" s="92" t="s">
        <v>65</v>
      </c>
    </row>
    <row r="314" spans="1:8" s="92" customFormat="1" ht="16" x14ac:dyDescent="0.2">
      <c r="A314" s="105" t="s">
        <v>1049</v>
      </c>
      <c r="B314" s="92" t="s">
        <v>1057</v>
      </c>
    </row>
    <row r="315" spans="1:8" s="92" customFormat="1" ht="16" x14ac:dyDescent="0.2">
      <c r="A315" s="105" t="s">
        <v>67</v>
      </c>
      <c r="B315" s="92" t="s">
        <v>1058</v>
      </c>
    </row>
    <row r="316" spans="1:8" s="92" customFormat="1" ht="16" x14ac:dyDescent="0.2">
      <c r="A316" s="105" t="s">
        <v>1053</v>
      </c>
      <c r="B316" s="92" t="s">
        <v>1059</v>
      </c>
    </row>
    <row r="317" spans="1:8" s="92" customFormat="1" ht="16" x14ac:dyDescent="0.2"/>
    <row r="318" spans="1:8" s="92" customFormat="1" ht="16" x14ac:dyDescent="0.2">
      <c r="A318" s="92" t="s">
        <v>1197</v>
      </c>
    </row>
    <row r="319" spans="1:8" s="92" customFormat="1" ht="16" x14ac:dyDescent="0.2"/>
    <row r="320" spans="1:8" s="92" customFormat="1" ht="16" x14ac:dyDescent="0.2">
      <c r="B320" s="614">
        <f>(1+9.5%)^(1/12)-1</f>
        <v>7.5915342905825689E-3</v>
      </c>
      <c r="F320" s="92" t="s">
        <v>2683</v>
      </c>
    </row>
    <row r="321" spans="1:8" s="92" customFormat="1" ht="16" x14ac:dyDescent="0.2"/>
    <row r="322" spans="1:8" s="92" customFormat="1" ht="16" x14ac:dyDescent="0.2">
      <c r="A322" s="92" t="s">
        <v>842</v>
      </c>
    </row>
    <row r="323" spans="1:8" s="92" customFormat="1" ht="16" x14ac:dyDescent="0.2">
      <c r="A323" s="92" t="s">
        <v>2684</v>
      </c>
    </row>
    <row r="324" spans="1:8" s="92" customFormat="1" ht="16" x14ac:dyDescent="0.2">
      <c r="A324" s="92" t="s">
        <v>2685</v>
      </c>
    </row>
    <row r="325" spans="1:8" s="92" customFormat="1" ht="16" x14ac:dyDescent="0.2">
      <c r="A325" s="92" t="s">
        <v>2686</v>
      </c>
    </row>
    <row r="326" spans="1:8" s="92" customFormat="1" ht="16" x14ac:dyDescent="0.2"/>
    <row r="327" spans="1:8" s="92" customFormat="1" ht="16" x14ac:dyDescent="0.2"/>
    <row r="328" spans="1:8" s="92" customFormat="1" ht="16" x14ac:dyDescent="0.2">
      <c r="A328" s="129" t="s">
        <v>2633</v>
      </c>
      <c r="B328" s="129"/>
      <c r="C328" s="129"/>
      <c r="D328" s="129"/>
      <c r="E328" s="129"/>
      <c r="F328" s="129"/>
      <c r="G328" s="129"/>
      <c r="H328" s="129"/>
    </row>
    <row r="329" spans="1:8" s="92" customFormat="1" ht="16" x14ac:dyDescent="0.2">
      <c r="A329" s="92" t="s">
        <v>1198</v>
      </c>
    </row>
    <row r="330" spans="1:8" s="92" customFormat="1" ht="16" x14ac:dyDescent="0.2">
      <c r="A330" s="92" t="s">
        <v>1199</v>
      </c>
    </row>
    <row r="331" spans="1:8" s="92" customFormat="1" ht="16" x14ac:dyDescent="0.2">
      <c r="A331" s="92" t="s">
        <v>1200</v>
      </c>
    </row>
    <row r="332" spans="1:8" s="92" customFormat="1" ht="16" x14ac:dyDescent="0.2">
      <c r="A332" s="92" t="s">
        <v>1201</v>
      </c>
    </row>
    <row r="333" spans="1:8" s="92" customFormat="1" ht="16" x14ac:dyDescent="0.2">
      <c r="A333" s="92" t="s">
        <v>1202</v>
      </c>
    </row>
    <row r="334" spans="1:8" s="92" customFormat="1" ht="16" x14ac:dyDescent="0.2"/>
    <row r="335" spans="1:8" s="92" customFormat="1" ht="16" x14ac:dyDescent="0.2">
      <c r="A335" s="93" t="s">
        <v>1203</v>
      </c>
    </row>
    <row r="336" spans="1:8" s="92" customFormat="1" ht="16" x14ac:dyDescent="0.2">
      <c r="A336" s="93" t="s">
        <v>1204</v>
      </c>
    </row>
    <row r="337" spans="1:13" s="92" customFormat="1" ht="16" x14ac:dyDescent="0.2">
      <c r="A337" s="93" t="s">
        <v>1205</v>
      </c>
    </row>
    <row r="338" spans="1:13" s="92" customFormat="1" ht="16" x14ac:dyDescent="0.2"/>
    <row r="339" spans="1:13" s="92" customFormat="1" ht="16" x14ac:dyDescent="0.2"/>
    <row r="340" spans="1:13" s="92" customFormat="1" ht="16" x14ac:dyDescent="0.2">
      <c r="B340" s="110">
        <v>1</v>
      </c>
      <c r="C340" s="110"/>
      <c r="D340" s="110"/>
      <c r="E340" s="110"/>
      <c r="F340" s="110"/>
      <c r="G340" s="110">
        <v>0</v>
      </c>
    </row>
    <row r="341" spans="1:13" s="92" customFormat="1" ht="16" x14ac:dyDescent="0.2">
      <c r="A341" s="92" t="s">
        <v>1206</v>
      </c>
      <c r="B341" s="482">
        <f>-200000*1.09</f>
        <v>-218000.00000000003</v>
      </c>
      <c r="C341" s="597"/>
      <c r="D341" s="306" t="s">
        <v>1249</v>
      </c>
      <c r="E341" s="306" t="s">
        <v>2694</v>
      </c>
      <c r="F341" s="597"/>
      <c r="G341" s="463">
        <v>200000</v>
      </c>
      <c r="H341" s="92" t="s">
        <v>1207</v>
      </c>
    </row>
    <row r="342" spans="1:13" s="92" customFormat="1" ht="16" x14ac:dyDescent="0.2">
      <c r="A342" s="92" t="s">
        <v>1208</v>
      </c>
      <c r="B342" s="597"/>
      <c r="C342" s="597"/>
      <c r="D342" s="597"/>
      <c r="E342" s="597"/>
      <c r="F342" s="597"/>
      <c r="G342" s="462">
        <f>-1.5%*G341</f>
        <v>-3000</v>
      </c>
      <c r="H342" s="92" t="s">
        <v>2688</v>
      </c>
      <c r="J342" s="92" t="s">
        <v>2687</v>
      </c>
    </row>
    <row r="343" spans="1:13" s="92" customFormat="1" ht="16" x14ac:dyDescent="0.2">
      <c r="B343" s="597"/>
      <c r="C343" s="597"/>
      <c r="D343" s="597"/>
      <c r="E343" s="597"/>
      <c r="F343" s="597"/>
      <c r="G343" s="460">
        <f>G341+G342</f>
        <v>197000</v>
      </c>
      <c r="H343" s="92" t="s">
        <v>1209</v>
      </c>
      <c r="I343" s="92" t="s">
        <v>2689</v>
      </c>
    </row>
    <row r="344" spans="1:13" s="92" customFormat="1" ht="17" thickBot="1" x14ac:dyDescent="0.25"/>
    <row r="345" spans="1:13" s="306" customFormat="1" ht="16" x14ac:dyDescent="0.2">
      <c r="A345" s="619" t="s">
        <v>2697</v>
      </c>
      <c r="J345" s="306" t="s">
        <v>2690</v>
      </c>
    </row>
    <row r="346" spans="1:13" s="306" customFormat="1" ht="16" x14ac:dyDescent="0.2">
      <c r="A346" s="735">
        <v>0.106599</v>
      </c>
      <c r="B346" s="737" t="s">
        <v>2696</v>
      </c>
      <c r="C346" s="615">
        <f>-B341</f>
        <v>218000.00000000003</v>
      </c>
      <c r="D346" s="737" t="s">
        <v>1211</v>
      </c>
      <c r="E346" s="737">
        <v>-1</v>
      </c>
      <c r="F346" s="615" t="s">
        <v>2695</v>
      </c>
      <c r="G346" s="737" t="s">
        <v>1212</v>
      </c>
      <c r="I346" s="306" t="s">
        <v>2080</v>
      </c>
      <c r="J346" s="306" t="s">
        <v>2691</v>
      </c>
    </row>
    <row r="347" spans="1:13" s="306" customFormat="1" ht="17" thickBot="1" x14ac:dyDescent="0.25">
      <c r="A347" s="736"/>
      <c r="B347" s="737"/>
      <c r="C347" s="616">
        <f>G343</f>
        <v>197000</v>
      </c>
      <c r="D347" s="737"/>
      <c r="E347" s="737"/>
      <c r="F347" s="617" t="s">
        <v>1065</v>
      </c>
      <c r="G347" s="737"/>
      <c r="I347" s="618" t="s">
        <v>2693</v>
      </c>
      <c r="J347" s="618" t="s">
        <v>2692</v>
      </c>
      <c r="K347" s="618"/>
      <c r="L347" s="618"/>
      <c r="M347" s="618"/>
    </row>
    <row r="348" spans="1:13" s="306" customFormat="1" ht="16" x14ac:dyDescent="0.2"/>
    <row r="349" spans="1:13" s="306" customFormat="1" ht="16" x14ac:dyDescent="0.2">
      <c r="A349" s="306" t="s">
        <v>1214</v>
      </c>
    </row>
    <row r="350" spans="1:13" s="306" customFormat="1" ht="16" x14ac:dyDescent="0.2">
      <c r="A350" s="306" t="s">
        <v>1215</v>
      </c>
    </row>
    <row r="351" spans="1:13" s="306" customFormat="1" ht="16" x14ac:dyDescent="0.2"/>
    <row r="352" spans="1:13" s="306" customFormat="1" ht="16" x14ac:dyDescent="0.2">
      <c r="A352" s="306" t="s">
        <v>2698</v>
      </c>
    </row>
    <row r="353" spans="1:8" s="306" customFormat="1" ht="16" x14ac:dyDescent="0.2">
      <c r="A353" s="306" t="s">
        <v>2699</v>
      </c>
    </row>
    <row r="354" spans="1:8" s="306" customFormat="1" ht="16" x14ac:dyDescent="0.2">
      <c r="F354" s="306" t="s">
        <v>2700</v>
      </c>
    </row>
    <row r="355" spans="1:8" s="306" customFormat="1" ht="16" x14ac:dyDescent="0.2"/>
    <row r="356" spans="1:8" s="306" customFormat="1" ht="16" x14ac:dyDescent="0.2"/>
    <row r="357" spans="1:8" s="92" customFormat="1" ht="16" x14ac:dyDescent="0.2">
      <c r="A357" s="129" t="s">
        <v>1166</v>
      </c>
      <c r="B357" s="129"/>
      <c r="C357" s="129"/>
      <c r="D357" s="129"/>
      <c r="E357" s="129"/>
      <c r="F357" s="129" t="s">
        <v>780</v>
      </c>
      <c r="G357" s="129"/>
      <c r="H357" s="129"/>
    </row>
    <row r="358" spans="1:8" s="92" customFormat="1" ht="16" x14ac:dyDescent="0.2">
      <c r="A358" s="92" t="s">
        <v>1218</v>
      </c>
    </row>
    <row r="359" spans="1:8" s="92" customFormat="1" ht="16" x14ac:dyDescent="0.2">
      <c r="A359" s="92" t="s">
        <v>1168</v>
      </c>
    </row>
    <row r="360" spans="1:8" s="92" customFormat="1" ht="16" x14ac:dyDescent="0.2"/>
    <row r="361" spans="1:8" s="92" customFormat="1" ht="16" x14ac:dyDescent="0.2">
      <c r="A361" s="92" t="s">
        <v>1169</v>
      </c>
    </row>
    <row r="362" spans="1:8" s="92" customFormat="1" ht="16" x14ac:dyDescent="0.2">
      <c r="A362" s="92" t="s">
        <v>1170</v>
      </c>
    </row>
    <row r="363" spans="1:8" s="92" customFormat="1" ht="16" x14ac:dyDescent="0.2"/>
    <row r="364" spans="1:8" s="92" customFormat="1" ht="16" x14ac:dyDescent="0.2">
      <c r="B364" s="110">
        <v>1</v>
      </c>
      <c r="C364" s="110"/>
      <c r="D364" s="110"/>
      <c r="E364" s="110"/>
      <c r="F364" s="110"/>
      <c r="G364" s="110">
        <v>0</v>
      </c>
    </row>
    <row r="365" spans="1:8" s="92" customFormat="1" ht="16" x14ac:dyDescent="0.2">
      <c r="B365" s="142">
        <f>-G365</f>
        <v>-100</v>
      </c>
      <c r="F365" s="92" t="s">
        <v>1171</v>
      </c>
      <c r="G365" s="105">
        <v>100</v>
      </c>
      <c r="H365" s="92" t="s">
        <v>1161</v>
      </c>
    </row>
    <row r="366" spans="1:8" s="92" customFormat="1" ht="16" x14ac:dyDescent="0.2">
      <c r="G366" s="105">
        <v>-6</v>
      </c>
      <c r="H366" s="92" t="s">
        <v>1219</v>
      </c>
    </row>
    <row r="367" spans="1:8" s="92" customFormat="1" ht="16" x14ac:dyDescent="0.2">
      <c r="G367" s="142">
        <f>G365+G366</f>
        <v>94</v>
      </c>
      <c r="H367" s="92" t="s">
        <v>1162</v>
      </c>
    </row>
    <row r="368" spans="1:8" s="92" customFormat="1" ht="16" x14ac:dyDescent="0.2"/>
    <row r="369" spans="1:8" s="92" customFormat="1" ht="16" x14ac:dyDescent="0.2">
      <c r="A369" s="92" t="s">
        <v>1220</v>
      </c>
      <c r="G369" s="92" t="s">
        <v>1221</v>
      </c>
    </row>
    <row r="370" spans="1:8" s="92" customFormat="1" ht="16" x14ac:dyDescent="0.2">
      <c r="A370" s="92" t="s">
        <v>1222</v>
      </c>
    </row>
    <row r="371" spans="1:8" s="92" customFormat="1" ht="16" x14ac:dyDescent="0.2">
      <c r="A371" s="92" t="s">
        <v>1223</v>
      </c>
    </row>
    <row r="372" spans="1:8" s="92" customFormat="1" ht="16" x14ac:dyDescent="0.2"/>
    <row r="373" spans="1:8" s="92" customFormat="1" ht="16" x14ac:dyDescent="0.2">
      <c r="A373" s="92" t="s">
        <v>1224</v>
      </c>
      <c r="G373" s="92" t="s">
        <v>1173</v>
      </c>
    </row>
    <row r="374" spans="1:8" s="92" customFormat="1" ht="16" x14ac:dyDescent="0.2"/>
    <row r="375" spans="1:8" s="92" customFormat="1" ht="16" x14ac:dyDescent="0.2">
      <c r="A375" s="92" t="s">
        <v>1174</v>
      </c>
    </row>
    <row r="376" spans="1:8" s="92" customFormat="1" ht="16" x14ac:dyDescent="0.2">
      <c r="A376" s="92" t="s">
        <v>1175</v>
      </c>
    </row>
    <row r="377" spans="1:8" s="92" customFormat="1" ht="16" x14ac:dyDescent="0.2">
      <c r="A377" s="92" t="s">
        <v>1176</v>
      </c>
    </row>
    <row r="378" spans="1:8" s="92" customFormat="1" ht="16" x14ac:dyDescent="0.2">
      <c r="A378" s="92" t="s">
        <v>1177</v>
      </c>
    </row>
    <row r="379" spans="1:8" s="92" customFormat="1" ht="16" x14ac:dyDescent="0.2"/>
    <row r="380" spans="1:8" s="92" customFormat="1" ht="15" customHeight="1" x14ac:dyDescent="0.2">
      <c r="A380" s="129" t="s">
        <v>1178</v>
      </c>
      <c r="B380" s="129"/>
      <c r="C380" s="129"/>
      <c r="D380" s="129"/>
      <c r="E380" s="129"/>
      <c r="F380" s="129" t="s">
        <v>780</v>
      </c>
      <c r="G380" s="129"/>
      <c r="H380" s="129"/>
    </row>
    <row r="381" spans="1:8" s="92" customFormat="1" ht="16" x14ac:dyDescent="0.2">
      <c r="A381" s="92" t="s">
        <v>1179</v>
      </c>
    </row>
    <row r="382" spans="1:8" s="92" customFormat="1" ht="16" x14ac:dyDescent="0.2">
      <c r="A382" s="92" t="s">
        <v>1180</v>
      </c>
    </row>
    <row r="383" spans="1:8" s="92" customFormat="1" ht="16" x14ac:dyDescent="0.2">
      <c r="A383" s="92" t="s">
        <v>1181</v>
      </c>
    </row>
    <row r="384" spans="1:8" s="92" customFormat="1" ht="16" x14ac:dyDescent="0.2">
      <c r="A384" s="92" t="s">
        <v>1182</v>
      </c>
    </row>
    <row r="385" spans="1:8" s="92" customFormat="1" ht="16" x14ac:dyDescent="0.2"/>
    <row r="386" spans="1:8" s="92" customFormat="1" ht="16" x14ac:dyDescent="0.2">
      <c r="A386" s="92" t="s">
        <v>1183</v>
      </c>
      <c r="G386" s="92" t="s">
        <v>1048</v>
      </c>
    </row>
    <row r="387" spans="1:8" s="92" customFormat="1" ht="16" x14ac:dyDescent="0.2"/>
    <row r="388" spans="1:8" s="92" customFormat="1" ht="16" x14ac:dyDescent="0.2">
      <c r="A388" s="92" t="s">
        <v>65</v>
      </c>
    </row>
    <row r="389" spans="1:8" s="92" customFormat="1" ht="16" x14ac:dyDescent="0.2">
      <c r="A389" s="105" t="s">
        <v>1049</v>
      </c>
      <c r="B389" s="92" t="s">
        <v>1050</v>
      </c>
    </row>
    <row r="390" spans="1:8" s="92" customFormat="1" ht="16" x14ac:dyDescent="0.2">
      <c r="A390" s="105" t="s">
        <v>1044</v>
      </c>
      <c r="B390" s="92" t="s">
        <v>1051</v>
      </c>
    </row>
    <row r="391" spans="1:8" s="92" customFormat="1" ht="16" x14ac:dyDescent="0.2">
      <c r="A391" s="105" t="s">
        <v>69</v>
      </c>
      <c r="B391" s="92" t="s">
        <v>1052</v>
      </c>
    </row>
    <row r="392" spans="1:8" s="92" customFormat="1" ht="16" x14ac:dyDescent="0.2">
      <c r="A392" s="105" t="s">
        <v>1053</v>
      </c>
      <c r="B392" s="92" t="s">
        <v>1054</v>
      </c>
    </row>
    <row r="393" spans="1:8" s="92" customFormat="1" ht="16" x14ac:dyDescent="0.2"/>
    <row r="394" spans="1:8" s="92" customFormat="1" ht="16" x14ac:dyDescent="0.2">
      <c r="A394" s="92" t="s">
        <v>1184</v>
      </c>
    </row>
    <row r="395" spans="1:8" s="92" customFormat="1" ht="16" x14ac:dyDescent="0.2">
      <c r="A395" s="105" t="s">
        <v>695</v>
      </c>
      <c r="G395" s="92" t="s">
        <v>1185</v>
      </c>
    </row>
    <row r="396" spans="1:8" s="92" customFormat="1" ht="16" x14ac:dyDescent="0.2">
      <c r="A396" s="105" t="s">
        <v>696</v>
      </c>
      <c r="G396" s="92" t="s">
        <v>1186</v>
      </c>
    </row>
    <row r="397" spans="1:8" s="92" customFormat="1" ht="16" x14ac:dyDescent="0.2">
      <c r="A397" s="105" t="s">
        <v>1187</v>
      </c>
      <c r="G397" s="92" t="s">
        <v>1188</v>
      </c>
    </row>
    <row r="398" spans="1:8" s="92" customFormat="1" ht="17" thickBot="1" x14ac:dyDescent="0.25"/>
    <row r="399" spans="1:8" s="92" customFormat="1" ht="16" x14ac:dyDescent="0.2">
      <c r="A399" s="238" t="s">
        <v>1225</v>
      </c>
      <c r="B399" s="484"/>
      <c r="C399" s="484"/>
      <c r="D399" s="484"/>
      <c r="E399" s="484"/>
      <c r="F399" s="484"/>
      <c r="G399" s="484"/>
      <c r="H399" s="485"/>
    </row>
    <row r="400" spans="1:8" s="92" customFormat="1" ht="17" thickBot="1" x14ac:dyDescent="0.25">
      <c r="A400" s="243" t="s">
        <v>1226</v>
      </c>
      <c r="B400" s="486"/>
      <c r="C400" s="486"/>
      <c r="D400" s="486"/>
      <c r="E400" s="486"/>
      <c r="F400" s="486"/>
      <c r="G400" s="486"/>
      <c r="H400" s="487"/>
    </row>
    <row r="401" spans="1:7" s="92" customFormat="1" ht="16" x14ac:dyDescent="0.2"/>
    <row r="402" spans="1:7" s="92" customFormat="1" ht="16" x14ac:dyDescent="0.2">
      <c r="A402" s="92" t="s">
        <v>1227</v>
      </c>
    </row>
    <row r="403" spans="1:7" s="92" customFormat="1" ht="16" x14ac:dyDescent="0.2"/>
    <row r="404" spans="1:7" s="92" customFormat="1" ht="16" x14ac:dyDescent="0.2">
      <c r="A404" s="105" t="s">
        <v>1044</v>
      </c>
      <c r="B404" s="92" t="s">
        <v>1228</v>
      </c>
      <c r="G404" s="92" t="s">
        <v>1144</v>
      </c>
    </row>
    <row r="405" spans="1:7" s="92" customFormat="1" ht="16" x14ac:dyDescent="0.2">
      <c r="A405" s="105" t="s">
        <v>69</v>
      </c>
      <c r="B405" s="92" t="s">
        <v>1229</v>
      </c>
    </row>
    <row r="406" spans="1:7" s="92" customFormat="1" ht="16" x14ac:dyDescent="0.2">
      <c r="B406" s="92" t="s">
        <v>1230</v>
      </c>
    </row>
    <row r="407" spans="1:7" s="92" customFormat="1" ht="16" x14ac:dyDescent="0.2">
      <c r="A407" s="105" t="s">
        <v>1053</v>
      </c>
      <c r="B407" s="92" t="s">
        <v>1231</v>
      </c>
    </row>
    <row r="408" spans="1:7" s="92" customFormat="1" ht="16" x14ac:dyDescent="0.2">
      <c r="E408" s="488">
        <f>(1+6%/6)^3-1</f>
        <v>3.0300999999999911E-2</v>
      </c>
      <c r="G408" s="92" t="s">
        <v>1232</v>
      </c>
    </row>
    <row r="409" spans="1:7" s="92" customFormat="1" ht="16" x14ac:dyDescent="0.2"/>
    <row r="410" spans="1:7" s="92" customFormat="1" ht="16" x14ac:dyDescent="0.2">
      <c r="D410" s="92" t="s">
        <v>1233</v>
      </c>
    </row>
    <row r="411" spans="1:7" s="92" customFormat="1" ht="16" x14ac:dyDescent="0.2"/>
    <row r="412" spans="1:7" s="92" customFormat="1" ht="16" x14ac:dyDescent="0.2">
      <c r="A412" s="92" t="s">
        <v>1234</v>
      </c>
    </row>
    <row r="413" spans="1:7" s="92" customFormat="1" ht="16" x14ac:dyDescent="0.2"/>
    <row r="414" spans="1:7" s="92" customFormat="1" ht="16" x14ac:dyDescent="0.2">
      <c r="E414" s="92" t="s">
        <v>1235</v>
      </c>
    </row>
    <row r="415" spans="1:7" s="92" customFormat="1" ht="16" x14ac:dyDescent="0.2">
      <c r="G415" s="92" t="s">
        <v>1144</v>
      </c>
    </row>
    <row r="416" spans="1:7" s="92" customFormat="1" ht="16" x14ac:dyDescent="0.2">
      <c r="E416" s="488">
        <f>(1+8%/3)^12-1</f>
        <v>0.37136651622457317</v>
      </c>
      <c r="G416" s="92" t="s">
        <v>1236</v>
      </c>
    </row>
    <row r="417" spans="1:8" s="92" customFormat="1" ht="16" x14ac:dyDescent="0.2">
      <c r="A417" s="105" t="s">
        <v>1044</v>
      </c>
      <c r="B417" s="92" t="s">
        <v>1228</v>
      </c>
    </row>
    <row r="418" spans="1:8" s="92" customFormat="1" ht="16" x14ac:dyDescent="0.2">
      <c r="A418" s="105" t="s">
        <v>69</v>
      </c>
      <c r="B418" s="92" t="s">
        <v>1229</v>
      </c>
    </row>
    <row r="419" spans="1:8" s="92" customFormat="1" ht="16" x14ac:dyDescent="0.2">
      <c r="A419" s="105" t="s">
        <v>1053</v>
      </c>
      <c r="B419" s="92" t="s">
        <v>1237</v>
      </c>
    </row>
    <row r="420" spans="1:8" s="92" customFormat="1" ht="16" x14ac:dyDescent="0.2"/>
    <row r="421" spans="1:8" s="92" customFormat="1" ht="16" x14ac:dyDescent="0.2"/>
    <row r="422" spans="1:8" s="92" customFormat="1" ht="16" x14ac:dyDescent="0.2"/>
    <row r="423" spans="1:8" s="92" customFormat="1" ht="16" x14ac:dyDescent="0.2"/>
    <row r="424" spans="1:8" s="92" customFormat="1" ht="16" x14ac:dyDescent="0.2"/>
    <row r="425" spans="1:8" s="92" customFormat="1" ht="16" x14ac:dyDescent="0.2">
      <c r="A425" s="129" t="s">
        <v>2634</v>
      </c>
      <c r="B425" s="129"/>
      <c r="C425" s="129"/>
      <c r="D425" s="483" t="s">
        <v>1239</v>
      </c>
      <c r="E425" s="129"/>
      <c r="F425" s="129"/>
      <c r="G425" s="129"/>
      <c r="H425" s="129"/>
    </row>
    <row r="426" spans="1:8" s="92" customFormat="1" ht="16" x14ac:dyDescent="0.2">
      <c r="A426" s="92" t="s">
        <v>1190</v>
      </c>
    </row>
    <row r="427" spans="1:8" s="92" customFormat="1" ht="16" x14ac:dyDescent="0.2">
      <c r="A427" s="92" t="s">
        <v>1191</v>
      </c>
    </row>
    <row r="428" spans="1:8" s="92" customFormat="1" ht="16" x14ac:dyDescent="0.2"/>
    <row r="429" spans="1:8" s="92" customFormat="1" ht="16" x14ac:dyDescent="0.2">
      <c r="A429" s="92" t="s">
        <v>1183</v>
      </c>
      <c r="G429" s="92" t="s">
        <v>1048</v>
      </c>
    </row>
    <row r="430" spans="1:8" s="92" customFormat="1" ht="16" x14ac:dyDescent="0.2"/>
    <row r="431" spans="1:8" s="92" customFormat="1" ht="16" x14ac:dyDescent="0.2">
      <c r="A431" s="92" t="s">
        <v>65</v>
      </c>
    </row>
    <row r="432" spans="1:8" s="92" customFormat="1" ht="16" x14ac:dyDescent="0.2">
      <c r="A432" s="105" t="s">
        <v>1049</v>
      </c>
      <c r="B432" s="92" t="s">
        <v>1050</v>
      </c>
    </row>
    <row r="433" spans="1:8" s="92" customFormat="1" ht="16" x14ac:dyDescent="0.2">
      <c r="A433" s="105" t="s">
        <v>1044</v>
      </c>
      <c r="B433" s="92" t="s">
        <v>1051</v>
      </c>
    </row>
    <row r="434" spans="1:8" s="92" customFormat="1" ht="16" x14ac:dyDescent="0.2">
      <c r="A434" s="105" t="s">
        <v>69</v>
      </c>
      <c r="B434" s="92" t="s">
        <v>1052</v>
      </c>
    </row>
    <row r="435" spans="1:8" s="92" customFormat="1" ht="16" x14ac:dyDescent="0.2">
      <c r="A435" s="105" t="s">
        <v>1053</v>
      </c>
      <c r="B435" s="92" t="s">
        <v>1054</v>
      </c>
    </row>
    <row r="436" spans="1:8" s="92" customFormat="1" ht="16" x14ac:dyDescent="0.2"/>
    <row r="437" spans="1:8" s="92" customFormat="1" ht="16" x14ac:dyDescent="0.2">
      <c r="A437" s="92" t="s">
        <v>1192</v>
      </c>
      <c r="E437" s="134">
        <f>1.01^6-1</f>
        <v>6.1520150601000134E-2</v>
      </c>
      <c r="G437" s="92" t="s">
        <v>1193</v>
      </c>
    </row>
    <row r="438" spans="1:8" s="92" customFormat="1" ht="16" x14ac:dyDescent="0.2"/>
    <row r="439" spans="1:8" s="92" customFormat="1" ht="16" x14ac:dyDescent="0.2">
      <c r="A439" s="92" t="s">
        <v>1194</v>
      </c>
    </row>
    <row r="440" spans="1:8" s="92" customFormat="1" ht="16" x14ac:dyDescent="0.2">
      <c r="A440" s="92" t="s">
        <v>1195</v>
      </c>
    </row>
    <row r="441" spans="1:8" s="92" customFormat="1" ht="16" x14ac:dyDescent="0.2">
      <c r="A441" s="92" t="s">
        <v>1196</v>
      </c>
    </row>
    <row r="442" spans="1:8" s="92" customFormat="1" ht="16" x14ac:dyDescent="0.2"/>
    <row r="443" spans="1:8" s="92" customFormat="1" ht="16" x14ac:dyDescent="0.2"/>
    <row r="444" spans="1:8" s="92" customFormat="1" ht="16" x14ac:dyDescent="0.2">
      <c r="A444" s="129" t="s">
        <v>2635</v>
      </c>
      <c r="B444" s="129"/>
      <c r="C444" s="129"/>
      <c r="D444" s="129"/>
      <c r="E444" s="129"/>
      <c r="F444" s="129" t="s">
        <v>780</v>
      </c>
      <c r="G444" s="129"/>
      <c r="H444" s="129"/>
    </row>
    <row r="445" spans="1:8" s="92" customFormat="1" ht="16" x14ac:dyDescent="0.2">
      <c r="A445" s="92" t="s">
        <v>1240</v>
      </c>
    </row>
    <row r="446" spans="1:8" s="92" customFormat="1" ht="16" x14ac:dyDescent="0.2"/>
    <row r="447" spans="1:8" s="92" customFormat="1" ht="16" x14ac:dyDescent="0.2">
      <c r="A447" s="93" t="s">
        <v>1241</v>
      </c>
    </row>
    <row r="448" spans="1:8" s="92" customFormat="1" ht="16" x14ac:dyDescent="0.2">
      <c r="G448" s="105" t="s">
        <v>67</v>
      </c>
      <c r="H448" s="92" t="s">
        <v>1242</v>
      </c>
    </row>
    <row r="449" spans="1:8" s="92" customFormat="1" ht="16" x14ac:dyDescent="0.2">
      <c r="F449" s="92" t="s">
        <v>1243</v>
      </c>
      <c r="G449" s="105" t="s">
        <v>1053</v>
      </c>
      <c r="H449" s="92" t="s">
        <v>1244</v>
      </c>
    </row>
    <row r="450" spans="1:8" s="92" customFormat="1" ht="16" x14ac:dyDescent="0.2">
      <c r="G450" s="105" t="s">
        <v>1049</v>
      </c>
      <c r="H450" s="92" t="s">
        <v>1245</v>
      </c>
    </row>
    <row r="451" spans="1:8" s="92" customFormat="1" ht="16" x14ac:dyDescent="0.2">
      <c r="A451" s="92" t="s">
        <v>1246</v>
      </c>
    </row>
    <row r="452" spans="1:8" s="92" customFormat="1" ht="16" x14ac:dyDescent="0.2">
      <c r="B452" s="92" t="s">
        <v>1247</v>
      </c>
    </row>
    <row r="453" spans="1:8" s="92" customFormat="1" ht="16" x14ac:dyDescent="0.2">
      <c r="B453" s="92" t="s">
        <v>1248</v>
      </c>
    </row>
    <row r="454" spans="1:8" s="92" customFormat="1" ht="16" x14ac:dyDescent="0.2"/>
    <row r="455" spans="1:8" s="92" customFormat="1" ht="16" x14ac:dyDescent="0.2">
      <c r="A455" s="129" t="s">
        <v>2636</v>
      </c>
      <c r="B455" s="129"/>
      <c r="C455" s="129"/>
      <c r="D455" s="129"/>
      <c r="E455" s="129"/>
      <c r="F455" s="129"/>
      <c r="G455" s="129" t="s">
        <v>2701</v>
      </c>
      <c r="H455" s="129"/>
    </row>
    <row r="456" spans="1:8" s="92" customFormat="1" ht="16" x14ac:dyDescent="0.2">
      <c r="A456" s="92" t="s">
        <v>1198</v>
      </c>
    </row>
    <row r="457" spans="1:8" s="92" customFormat="1" ht="16" x14ac:dyDescent="0.2">
      <c r="A457" s="92" t="s">
        <v>1199</v>
      </c>
    </row>
    <row r="458" spans="1:8" s="92" customFormat="1" ht="16" x14ac:dyDescent="0.2">
      <c r="A458" s="92" t="s">
        <v>1200</v>
      </c>
    </row>
    <row r="459" spans="1:8" s="92" customFormat="1" ht="16" x14ac:dyDescent="0.2">
      <c r="A459" s="92" t="s">
        <v>1201</v>
      </c>
    </row>
    <row r="460" spans="1:8" s="92" customFormat="1" ht="16" x14ac:dyDescent="0.2">
      <c r="A460" s="92" t="s">
        <v>1202</v>
      </c>
    </row>
    <row r="461" spans="1:8" s="92" customFormat="1" ht="16" x14ac:dyDescent="0.2"/>
    <row r="462" spans="1:8" s="92" customFormat="1" ht="16" x14ac:dyDescent="0.2">
      <c r="A462" s="93" t="s">
        <v>1203</v>
      </c>
    </row>
    <row r="463" spans="1:8" s="92" customFormat="1" ht="16" x14ac:dyDescent="0.2">
      <c r="A463" s="93" t="s">
        <v>1204</v>
      </c>
    </row>
    <row r="464" spans="1:8" s="92" customFormat="1" ht="16" x14ac:dyDescent="0.2">
      <c r="A464" s="93" t="s">
        <v>1205</v>
      </c>
    </row>
    <row r="465" spans="1:9" s="92" customFormat="1" ht="16" x14ac:dyDescent="0.2"/>
    <row r="466" spans="1:9" s="92" customFormat="1" ht="16" x14ac:dyDescent="0.2"/>
    <row r="467" spans="1:9" s="92" customFormat="1" ht="17" thickBot="1" x14ac:dyDescent="0.25">
      <c r="B467" s="105">
        <v>1</v>
      </c>
      <c r="C467" s="110"/>
      <c r="D467" s="110"/>
      <c r="E467" s="110"/>
      <c r="F467" s="110"/>
      <c r="G467" s="110">
        <v>0</v>
      </c>
    </row>
    <row r="468" spans="1:9" s="92" customFormat="1" ht="17" thickBot="1" x14ac:dyDescent="0.25">
      <c r="A468" s="92" t="s">
        <v>1206</v>
      </c>
      <c r="B468" s="489">
        <f>-200000*1.09</f>
        <v>-218000.00000000003</v>
      </c>
      <c r="D468" s="92" t="s">
        <v>1249</v>
      </c>
      <c r="G468" s="112">
        <v>200000</v>
      </c>
      <c r="H468" s="92" t="s">
        <v>1250</v>
      </c>
    </row>
    <row r="469" spans="1:9" s="92" customFormat="1" ht="17" thickBot="1" x14ac:dyDescent="0.25">
      <c r="A469" s="92" t="s">
        <v>1208</v>
      </c>
      <c r="B469" s="142" t="s">
        <v>1251</v>
      </c>
      <c r="G469" s="112">
        <f>-1.5%*G468</f>
        <v>-3000</v>
      </c>
      <c r="H469" s="92" t="s">
        <v>1252</v>
      </c>
    </row>
    <row r="470" spans="1:9" s="92" customFormat="1" ht="17" thickBot="1" x14ac:dyDescent="0.25">
      <c r="G470" s="490">
        <f>G468+G469</f>
        <v>197000</v>
      </c>
      <c r="H470" s="92" t="s">
        <v>1209</v>
      </c>
    </row>
    <row r="471" spans="1:9" s="92" customFormat="1" ht="16" x14ac:dyDescent="0.2">
      <c r="G471" s="113" t="s">
        <v>1253</v>
      </c>
    </row>
    <row r="472" spans="1:9" s="92" customFormat="1" ht="16" x14ac:dyDescent="0.2">
      <c r="G472" s="142" t="s">
        <v>1254</v>
      </c>
    </row>
    <row r="473" spans="1:9" s="92" customFormat="1" ht="16" x14ac:dyDescent="0.2">
      <c r="A473" s="92" t="s">
        <v>1255</v>
      </c>
    </row>
    <row r="474" spans="1:9" s="92" customFormat="1" ht="16" x14ac:dyDescent="0.2">
      <c r="A474" s="92" t="s">
        <v>1256</v>
      </c>
    </row>
    <row r="475" spans="1:9" s="92" customFormat="1" ht="16" x14ac:dyDescent="0.2"/>
    <row r="476" spans="1:9" s="92" customFormat="1" ht="16" x14ac:dyDescent="0.2">
      <c r="A476" s="734">
        <v>0.106599</v>
      </c>
      <c r="B476" s="733" t="s">
        <v>1210</v>
      </c>
      <c r="C476" s="144">
        <f>-B468</f>
        <v>218000.00000000003</v>
      </c>
      <c r="D476" s="733" t="s">
        <v>1211</v>
      </c>
      <c r="E476" s="733">
        <v>-1</v>
      </c>
      <c r="F476" s="144" t="s">
        <v>1206</v>
      </c>
      <c r="G476" s="733" t="s">
        <v>1212</v>
      </c>
      <c r="H476" s="733" t="s">
        <v>1257</v>
      </c>
      <c r="I476" s="733"/>
    </row>
    <row r="477" spans="1:9" s="92" customFormat="1" ht="16" x14ac:dyDescent="0.2">
      <c r="A477" s="734"/>
      <c r="B477" s="733"/>
      <c r="C477" s="146">
        <f>G470</f>
        <v>197000</v>
      </c>
      <c r="D477" s="733"/>
      <c r="E477" s="733"/>
      <c r="F477" s="145" t="s">
        <v>1213</v>
      </c>
      <c r="G477" s="733"/>
      <c r="H477" s="733"/>
      <c r="I477" s="733"/>
    </row>
    <row r="478" spans="1:9" s="92" customFormat="1" ht="16" x14ac:dyDescent="0.2"/>
    <row r="479" spans="1:9" s="92" customFormat="1" ht="16" x14ac:dyDescent="0.2">
      <c r="A479" s="92" t="s">
        <v>1214</v>
      </c>
    </row>
    <row r="480" spans="1:9" s="92" customFormat="1" ht="16" x14ac:dyDescent="0.2">
      <c r="A480" s="92" t="s">
        <v>1215</v>
      </c>
    </row>
    <row r="482" spans="1:8" x14ac:dyDescent="0.2">
      <c r="A482" s="148" t="s">
        <v>1398</v>
      </c>
      <c r="B482" s="148" t="s">
        <v>1258</v>
      </c>
      <c r="C482" s="148"/>
      <c r="D482" s="148"/>
      <c r="E482" s="148"/>
      <c r="F482" s="148"/>
      <c r="G482" s="148"/>
      <c r="H482" s="148"/>
    </row>
    <row r="483" spans="1:8" x14ac:dyDescent="0.2">
      <c r="A483" s="43" t="s">
        <v>1259</v>
      </c>
    </row>
    <row r="484" spans="1:8" x14ac:dyDescent="0.2">
      <c r="A484" s="43" t="s">
        <v>1260</v>
      </c>
    </row>
    <row r="486" spans="1:8" x14ac:dyDescent="0.2">
      <c r="A486" s="43" t="s">
        <v>1261</v>
      </c>
      <c r="B486" s="43" t="s">
        <v>1262</v>
      </c>
    </row>
    <row r="487" spans="1:8" x14ac:dyDescent="0.2">
      <c r="B487" s="43" t="s">
        <v>1263</v>
      </c>
    </row>
    <row r="489" spans="1:8" x14ac:dyDescent="0.2">
      <c r="A489" s="43" t="s">
        <v>1264</v>
      </c>
      <c r="B489" s="43" t="s">
        <v>1265</v>
      </c>
    </row>
    <row r="490" spans="1:8" x14ac:dyDescent="0.2">
      <c r="B490" s="43" t="s">
        <v>1266</v>
      </c>
    </row>
    <row r="492" spans="1:8" x14ac:dyDescent="0.2">
      <c r="A492" s="44" t="s">
        <v>2702</v>
      </c>
    </row>
    <row r="493" spans="1:8" x14ac:dyDescent="0.2">
      <c r="A493" s="44"/>
    </row>
    <row r="494" spans="1:8" x14ac:dyDescent="0.2">
      <c r="A494" s="148" t="s">
        <v>1398</v>
      </c>
      <c r="B494" s="148" t="s">
        <v>1267</v>
      </c>
      <c r="C494" s="148"/>
      <c r="D494" s="148"/>
      <c r="E494" s="148"/>
      <c r="F494" s="148"/>
      <c r="G494" s="148"/>
      <c r="H494" s="148"/>
    </row>
    <row r="495" spans="1:8" x14ac:dyDescent="0.2">
      <c r="A495" s="43" t="s">
        <v>1268</v>
      </c>
    </row>
    <row r="496" spans="1:8" x14ac:dyDescent="0.2">
      <c r="A496" s="43" t="s">
        <v>1269</v>
      </c>
    </row>
    <row r="497" spans="1:9" x14ac:dyDescent="0.2">
      <c r="A497" s="44"/>
    </row>
    <row r="498" spans="1:9" x14ac:dyDescent="0.2">
      <c r="A498" s="44" t="s">
        <v>1261</v>
      </c>
      <c r="B498" s="44" t="s">
        <v>1270</v>
      </c>
      <c r="C498" s="44"/>
      <c r="D498" s="44"/>
      <c r="E498" s="44"/>
      <c r="F498" s="44"/>
      <c r="G498" s="44"/>
      <c r="H498" s="44"/>
    </row>
    <row r="499" spans="1:9" x14ac:dyDescent="0.2">
      <c r="A499" s="44"/>
      <c r="B499" s="44" t="s">
        <v>1271</v>
      </c>
      <c r="C499" s="44"/>
      <c r="D499" s="44"/>
      <c r="E499" s="44"/>
      <c r="F499" s="44"/>
      <c r="H499" s="44"/>
    </row>
    <row r="500" spans="1:9" x14ac:dyDescent="0.2">
      <c r="A500" s="44"/>
      <c r="B500" s="44" t="s">
        <v>1272</v>
      </c>
      <c r="H500" s="44" t="s">
        <v>1273</v>
      </c>
    </row>
    <row r="501" spans="1:9" x14ac:dyDescent="0.2">
      <c r="A501" s="44"/>
      <c r="B501" s="44" t="s">
        <v>1274</v>
      </c>
      <c r="H501" s="44"/>
    </row>
    <row r="502" spans="1:9" x14ac:dyDescent="0.2">
      <c r="A502" s="44"/>
      <c r="C502" s="49">
        <v>1</v>
      </c>
      <c r="D502" s="49"/>
      <c r="E502" s="49"/>
      <c r="F502" s="49"/>
      <c r="G502" s="49">
        <v>0</v>
      </c>
    </row>
    <row r="503" spans="1:9" x14ac:dyDescent="0.2">
      <c r="A503" s="44"/>
      <c r="B503" s="620" t="s">
        <v>1275</v>
      </c>
      <c r="C503" s="492">
        <f>-4000*1.005^12</f>
        <v>-4246.7112474579908</v>
      </c>
      <c r="D503" s="443"/>
      <c r="E503" s="290" t="s">
        <v>2705</v>
      </c>
      <c r="F503" s="443"/>
      <c r="G503" s="295">
        <v>4000</v>
      </c>
      <c r="H503" s="43" t="s">
        <v>1207</v>
      </c>
    </row>
    <row r="504" spans="1:9" x14ac:dyDescent="0.2">
      <c r="A504" s="44"/>
      <c r="B504" s="443"/>
      <c r="C504" s="443"/>
      <c r="D504" s="443"/>
      <c r="E504" s="443"/>
      <c r="F504" s="443" t="s">
        <v>2703</v>
      </c>
      <c r="G504" s="295">
        <f>-2%*4000</f>
        <v>-80</v>
      </c>
      <c r="H504" s="43" t="s">
        <v>1276</v>
      </c>
      <c r="I504" s="43" t="s">
        <v>2704</v>
      </c>
    </row>
    <row r="505" spans="1:9" x14ac:dyDescent="0.2">
      <c r="A505" s="44"/>
      <c r="B505" s="443"/>
      <c r="C505" s="443"/>
      <c r="D505" s="443"/>
      <c r="E505" s="443"/>
      <c r="F505" s="443"/>
      <c r="G505" s="491">
        <f>G503+G504</f>
        <v>3920</v>
      </c>
      <c r="H505" s="43" t="s">
        <v>1277</v>
      </c>
      <c r="I505" s="43" t="s">
        <v>2689</v>
      </c>
    </row>
    <row r="506" spans="1:9" x14ac:dyDescent="0.2">
      <c r="A506" s="44"/>
    </row>
    <row r="507" spans="1:9" x14ac:dyDescent="0.2">
      <c r="A507" s="43" t="s">
        <v>1278</v>
      </c>
    </row>
    <row r="508" spans="1:9" x14ac:dyDescent="0.2">
      <c r="A508" s="44"/>
      <c r="F508" s="43" t="s">
        <v>1144</v>
      </c>
    </row>
    <row r="509" spans="1:9" x14ac:dyDescent="0.2">
      <c r="A509" s="44"/>
    </row>
    <row r="510" spans="1:9" x14ac:dyDescent="0.2">
      <c r="A510" s="43" t="s">
        <v>1279</v>
      </c>
    </row>
    <row r="511" spans="1:9" x14ac:dyDescent="0.2">
      <c r="A511" s="43" t="s">
        <v>1280</v>
      </c>
    </row>
    <row r="512" spans="1:9" x14ac:dyDescent="0.2">
      <c r="A512" s="43" t="s">
        <v>1281</v>
      </c>
    </row>
    <row r="513" spans="1:8" x14ac:dyDescent="0.2">
      <c r="A513" s="44"/>
    </row>
    <row r="514" spans="1:8" x14ac:dyDescent="0.2">
      <c r="A514" s="43" t="s">
        <v>1282</v>
      </c>
    </row>
    <row r="515" spans="1:8" x14ac:dyDescent="0.2">
      <c r="A515" s="43" t="s">
        <v>1283</v>
      </c>
    </row>
    <row r="516" spans="1:8" ht="16" thickBot="1" x14ac:dyDescent="0.25">
      <c r="A516" s="44"/>
      <c r="G516" s="43" t="s">
        <v>2706</v>
      </c>
    </row>
    <row r="517" spans="1:8" ht="16" thickBot="1" x14ac:dyDescent="0.25">
      <c r="A517" s="44" t="s">
        <v>2707</v>
      </c>
      <c r="E517" s="153">
        <f>-C503/G505-1</f>
        <v>8.3344705984181422E-2</v>
      </c>
      <c r="G517" s="43" t="s">
        <v>1284</v>
      </c>
    </row>
    <row r="518" spans="1:8" x14ac:dyDescent="0.2">
      <c r="A518" s="44"/>
    </row>
    <row r="519" spans="1:8" x14ac:dyDescent="0.2">
      <c r="A519" s="43" t="s">
        <v>1285</v>
      </c>
    </row>
    <row r="520" spans="1:8" x14ac:dyDescent="0.2">
      <c r="A520" s="43" t="s">
        <v>1286</v>
      </c>
    </row>
    <row r="521" spans="1:8" x14ac:dyDescent="0.2">
      <c r="A521" s="43" t="s">
        <v>1287</v>
      </c>
    </row>
    <row r="522" spans="1:8" x14ac:dyDescent="0.2">
      <c r="C522" s="47">
        <v>1</v>
      </c>
      <c r="F522" s="47">
        <v>0</v>
      </c>
    </row>
    <row r="524" spans="1:8" x14ac:dyDescent="0.2">
      <c r="B524" s="43" t="s">
        <v>2709</v>
      </c>
      <c r="C524" s="47">
        <f>F524*1.09</f>
        <v>4360</v>
      </c>
      <c r="D524" s="47" t="s">
        <v>2710</v>
      </c>
      <c r="F524" s="48">
        <v>4000</v>
      </c>
      <c r="G524" s="43" t="s">
        <v>2689</v>
      </c>
      <c r="H524" s="43" t="s">
        <v>2708</v>
      </c>
    </row>
    <row r="526" spans="1:8" x14ac:dyDescent="0.2">
      <c r="A526" s="43" t="s">
        <v>2712</v>
      </c>
    </row>
    <row r="527" spans="1:8" x14ac:dyDescent="0.2">
      <c r="A527" s="43" t="s">
        <v>2713</v>
      </c>
    </row>
    <row r="528" spans="1:8" x14ac:dyDescent="0.2">
      <c r="G528" s="43" t="s">
        <v>2706</v>
      </c>
    </row>
    <row r="529" spans="1:8" x14ac:dyDescent="0.2">
      <c r="A529" s="43" t="s">
        <v>2714</v>
      </c>
      <c r="G529" s="43" t="s">
        <v>2711</v>
      </c>
    </row>
    <row r="530" spans="1:8" ht="16" thickBot="1" x14ac:dyDescent="0.25"/>
    <row r="531" spans="1:8" ht="16" thickBot="1" x14ac:dyDescent="0.25">
      <c r="A531" s="43" t="s">
        <v>2715</v>
      </c>
      <c r="E531" s="154">
        <v>0.09</v>
      </c>
      <c r="F531" s="43" t="s">
        <v>2716</v>
      </c>
    </row>
    <row r="533" spans="1:8" x14ac:dyDescent="0.2">
      <c r="A533" s="43" t="s">
        <v>1288</v>
      </c>
    </row>
    <row r="535" spans="1:8" x14ac:dyDescent="0.2">
      <c r="A535" s="148" t="s">
        <v>2637</v>
      </c>
      <c r="B535" s="148" t="s">
        <v>2717</v>
      </c>
      <c r="C535" s="148"/>
      <c r="D535" s="148"/>
      <c r="E535" s="148"/>
      <c r="F535" s="148"/>
      <c r="G535" s="148"/>
      <c r="H535" s="148"/>
    </row>
    <row r="536" spans="1:8" x14ac:dyDescent="0.2">
      <c r="A536" s="43" t="s">
        <v>1289</v>
      </c>
    </row>
    <row r="537" spans="1:8" x14ac:dyDescent="0.2">
      <c r="A537" s="43" t="s">
        <v>1290</v>
      </c>
    </row>
    <row r="538" spans="1:8" x14ac:dyDescent="0.2">
      <c r="A538" s="43" t="s">
        <v>1291</v>
      </c>
    </row>
    <row r="540" spans="1:8" x14ac:dyDescent="0.2">
      <c r="A540" s="43" t="s">
        <v>2719</v>
      </c>
    </row>
    <row r="542" spans="1:8" x14ac:dyDescent="0.2">
      <c r="A542" s="148" t="s">
        <v>2637</v>
      </c>
      <c r="B542" s="148" t="s">
        <v>1267</v>
      </c>
      <c r="C542" s="148"/>
      <c r="D542" s="148"/>
      <c r="E542" s="148"/>
      <c r="F542" s="148"/>
      <c r="G542" s="148"/>
      <c r="H542" s="148"/>
    </row>
    <row r="543" spans="1:8" x14ac:dyDescent="0.2">
      <c r="A543" s="43" t="s">
        <v>1292</v>
      </c>
    </row>
    <row r="544" spans="1:8" x14ac:dyDescent="0.2">
      <c r="A544" s="79" t="s">
        <v>1293</v>
      </c>
      <c r="B544" s="79"/>
      <c r="C544" s="79"/>
    </row>
    <row r="545" spans="1:8" x14ac:dyDescent="0.2">
      <c r="A545" s="43" t="s">
        <v>1294</v>
      </c>
    </row>
    <row r="546" spans="1:8" x14ac:dyDescent="0.2">
      <c r="A546" s="43" t="s">
        <v>1295</v>
      </c>
    </row>
    <row r="547" spans="1:8" x14ac:dyDescent="0.2">
      <c r="A547" s="43" t="s">
        <v>1296</v>
      </c>
    </row>
    <row r="548" spans="1:8" x14ac:dyDescent="0.2">
      <c r="A548" s="43" t="s">
        <v>1297</v>
      </c>
    </row>
    <row r="549" spans="1:8" ht="16" thickBot="1" x14ac:dyDescent="0.25"/>
    <row r="550" spans="1:8" x14ac:dyDescent="0.2">
      <c r="A550" s="323" t="s">
        <v>2718</v>
      </c>
      <c r="B550" s="213"/>
      <c r="C550" s="213"/>
      <c r="D550" s="213"/>
      <c r="E550" s="213"/>
      <c r="F550" s="213"/>
      <c r="G550" s="213"/>
      <c r="H550" s="214"/>
    </row>
    <row r="551" spans="1:8" x14ac:dyDescent="0.2">
      <c r="A551" s="241" t="s">
        <v>1298</v>
      </c>
      <c r="B551" s="79"/>
      <c r="C551" s="79"/>
      <c r="D551" s="79"/>
      <c r="E551" s="79"/>
      <c r="F551" s="79"/>
      <c r="G551" s="79"/>
      <c r="H551" s="242"/>
    </row>
    <row r="552" spans="1:8" ht="16" thickBot="1" x14ac:dyDescent="0.25">
      <c r="A552" s="243" t="s">
        <v>1299</v>
      </c>
      <c r="B552" s="244"/>
      <c r="C552" s="244"/>
      <c r="D552" s="244"/>
      <c r="E552" s="244"/>
      <c r="F552" s="244"/>
      <c r="G552" s="244"/>
      <c r="H552" s="245"/>
    </row>
    <row r="554" spans="1:8" x14ac:dyDescent="0.2">
      <c r="A554" s="43" t="s">
        <v>1300</v>
      </c>
      <c r="C554" s="493">
        <f>RATE(C555,C557,C556,C558)</f>
        <v>2.5259796934031997E-3</v>
      </c>
      <c r="D554" s="43" t="s">
        <v>87</v>
      </c>
      <c r="F554" s="191" t="s">
        <v>1301</v>
      </c>
      <c r="G554" s="192"/>
      <c r="H554" s="193"/>
    </row>
    <row r="555" spans="1:8" x14ac:dyDescent="0.2">
      <c r="A555" s="43" t="s">
        <v>1302</v>
      </c>
      <c r="C555" s="29">
        <v>40</v>
      </c>
      <c r="D555" s="43" t="s">
        <v>89</v>
      </c>
      <c r="F555" s="194" t="s">
        <v>1303</v>
      </c>
      <c r="H555" s="195"/>
    </row>
    <row r="556" spans="1:8" x14ac:dyDescent="0.2">
      <c r="A556" s="43" t="s">
        <v>1304</v>
      </c>
      <c r="C556" s="295">
        <v>3800</v>
      </c>
      <c r="D556" s="43" t="s">
        <v>281</v>
      </c>
      <c r="F556" s="194" t="s">
        <v>1305</v>
      </c>
      <c r="H556" s="195"/>
    </row>
    <row r="557" spans="1:8" x14ac:dyDescent="0.2">
      <c r="A557" s="43" t="s">
        <v>1306</v>
      </c>
      <c r="C557" s="29">
        <v>-100</v>
      </c>
      <c r="D557" s="43" t="s">
        <v>91</v>
      </c>
      <c r="F557" s="196" t="s">
        <v>1307</v>
      </c>
      <c r="G557" s="59"/>
      <c r="H557" s="197"/>
    </row>
    <row r="558" spans="1:8" x14ac:dyDescent="0.2">
      <c r="A558" s="43" t="s">
        <v>1308</v>
      </c>
      <c r="C558" s="29">
        <v>0</v>
      </c>
      <c r="D558" s="43" t="s">
        <v>105</v>
      </c>
    </row>
    <row r="559" spans="1:8" x14ac:dyDescent="0.2">
      <c r="C559" s="29">
        <v>0</v>
      </c>
      <c r="D559" s="43" t="s">
        <v>328</v>
      </c>
    </row>
    <row r="561" spans="1:8" x14ac:dyDescent="0.2">
      <c r="A561" s="47" t="s">
        <v>1189</v>
      </c>
      <c r="B561" s="43" t="s">
        <v>1309</v>
      </c>
    </row>
    <row r="562" spans="1:8" x14ac:dyDescent="0.2">
      <c r="B562" s="43" t="s">
        <v>1310</v>
      </c>
    </row>
    <row r="563" spans="1:8" x14ac:dyDescent="0.2">
      <c r="B563" s="43" t="s">
        <v>1311</v>
      </c>
    </row>
    <row r="565" spans="1:8" ht="16" thickBot="1" x14ac:dyDescent="0.25">
      <c r="A565" s="43" t="s">
        <v>1312</v>
      </c>
    </row>
    <row r="566" spans="1:8" ht="16" thickBot="1" x14ac:dyDescent="0.25">
      <c r="B566" s="157">
        <f>(1+C554)^12-1</f>
        <v>3.0736440183734448E-2</v>
      </c>
      <c r="D566" s="43" t="s">
        <v>1313</v>
      </c>
      <c r="F566" s="43" t="s">
        <v>2720</v>
      </c>
      <c r="G566" s="43" t="s">
        <v>1314</v>
      </c>
    </row>
    <row r="568" spans="1:8" x14ac:dyDescent="0.2">
      <c r="A568" s="79" t="s">
        <v>1315</v>
      </c>
      <c r="B568" s="79"/>
      <c r="C568" s="79"/>
      <c r="D568" s="79"/>
      <c r="E568" s="79"/>
      <c r="F568" s="79"/>
      <c r="G568" s="79"/>
      <c r="H568" s="79"/>
    </row>
    <row r="569" spans="1:8" x14ac:dyDescent="0.2">
      <c r="A569" s="79" t="s">
        <v>1316</v>
      </c>
      <c r="B569" s="79"/>
      <c r="C569" s="79"/>
      <c r="D569" s="79"/>
      <c r="E569" s="79"/>
      <c r="F569" s="79"/>
      <c r="G569" s="79"/>
      <c r="H569" s="79"/>
    </row>
    <row r="570" spans="1:8" x14ac:dyDescent="0.2">
      <c r="A570" s="79" t="s">
        <v>1317</v>
      </c>
      <c r="B570" s="79"/>
      <c r="C570" s="79"/>
      <c r="D570" s="79"/>
      <c r="E570" s="79"/>
      <c r="F570" s="79"/>
      <c r="G570" s="79"/>
      <c r="H570" s="79"/>
    </row>
    <row r="572" spans="1:8" x14ac:dyDescent="0.2">
      <c r="A572" s="158" t="s">
        <v>2638</v>
      </c>
      <c r="B572" s="158"/>
      <c r="C572" s="158"/>
      <c r="D572" s="158"/>
      <c r="E572" s="158" t="s">
        <v>780</v>
      </c>
      <c r="F572" s="158"/>
      <c r="G572" s="158"/>
      <c r="H572" s="158"/>
    </row>
    <row r="573" spans="1:8" x14ac:dyDescent="0.2">
      <c r="A573" s="43" t="s">
        <v>1318</v>
      </c>
    </row>
    <row r="574" spans="1:8" x14ac:dyDescent="0.2">
      <c r="A574" s="43" t="s">
        <v>1319</v>
      </c>
    </row>
    <row r="575" spans="1:8" x14ac:dyDescent="0.2">
      <c r="A575" s="43" t="s">
        <v>1320</v>
      </c>
    </row>
    <row r="577" spans="1:8" x14ac:dyDescent="0.2">
      <c r="A577" s="158" t="s">
        <v>2638</v>
      </c>
      <c r="B577" s="158" t="s">
        <v>1267</v>
      </c>
      <c r="C577" s="158"/>
      <c r="D577" s="158"/>
      <c r="E577" s="158" t="s">
        <v>780</v>
      </c>
      <c r="F577" s="158"/>
      <c r="G577" s="158"/>
      <c r="H577" s="158"/>
    </row>
    <row r="578" spans="1:8" x14ac:dyDescent="0.2">
      <c r="A578" s="43" t="s">
        <v>1321</v>
      </c>
      <c r="E578" s="43" t="s">
        <v>1300</v>
      </c>
      <c r="G578" s="155">
        <f>RATE(G579,G581,G580,G582,G583)</f>
        <v>1.0416313913484443E-2</v>
      </c>
      <c r="H578" s="43" t="s">
        <v>87</v>
      </c>
    </row>
    <row r="579" spans="1:8" x14ac:dyDescent="0.2">
      <c r="E579" s="43" t="s">
        <v>1322</v>
      </c>
      <c r="G579" s="47">
        <v>36</v>
      </c>
      <c r="H579" s="43" t="s">
        <v>89</v>
      </c>
    </row>
    <row r="580" spans="1:8" x14ac:dyDescent="0.2">
      <c r="E580" s="43" t="s">
        <v>1323</v>
      </c>
      <c r="G580" s="48">
        <v>5829</v>
      </c>
      <c r="H580" s="43" t="s">
        <v>281</v>
      </c>
    </row>
    <row r="581" spans="1:8" x14ac:dyDescent="0.2">
      <c r="E581" s="43" t="s">
        <v>1306</v>
      </c>
      <c r="G581" s="47">
        <v>-195</v>
      </c>
      <c r="H581" s="43" t="s">
        <v>91</v>
      </c>
    </row>
    <row r="582" spans="1:8" x14ac:dyDescent="0.2">
      <c r="E582" s="43" t="s">
        <v>1308</v>
      </c>
      <c r="G582" s="47">
        <v>0</v>
      </c>
      <c r="H582" s="43" t="s">
        <v>105</v>
      </c>
    </row>
    <row r="583" spans="1:8" x14ac:dyDescent="0.2">
      <c r="G583" s="47">
        <v>0</v>
      </c>
      <c r="H583" s="43" t="s">
        <v>328</v>
      </c>
    </row>
    <row r="584" spans="1:8" ht="16" thickBot="1" x14ac:dyDescent="0.25">
      <c r="G584" s="47"/>
    </row>
    <row r="585" spans="1:8" ht="16" thickBot="1" x14ac:dyDescent="0.25">
      <c r="A585" s="43" t="s">
        <v>1324</v>
      </c>
      <c r="D585" s="159">
        <f>(1+G578)^12-1</f>
        <v>0.13241130228216647</v>
      </c>
      <c r="F585" s="43" t="s">
        <v>1325</v>
      </c>
      <c r="G585" s="47"/>
    </row>
    <row r="586" spans="1:8" x14ac:dyDescent="0.2">
      <c r="G586" s="47"/>
    </row>
    <row r="587" spans="1:8" x14ac:dyDescent="0.2">
      <c r="A587" s="148" t="s">
        <v>2639</v>
      </c>
      <c r="B587" s="148" t="s">
        <v>1326</v>
      </c>
      <c r="C587" s="148"/>
      <c r="D587" s="148"/>
      <c r="E587" s="148"/>
      <c r="F587" s="148"/>
      <c r="G587" s="148" t="s">
        <v>780</v>
      </c>
      <c r="H587" s="148"/>
    </row>
    <row r="588" spans="1:8" x14ac:dyDescent="0.2">
      <c r="A588" s="43" t="s">
        <v>1327</v>
      </c>
    </row>
    <row r="589" spans="1:8" x14ac:dyDescent="0.2">
      <c r="A589" s="43" t="s">
        <v>1328</v>
      </c>
    </row>
    <row r="590" spans="1:8" x14ac:dyDescent="0.2">
      <c r="A590" s="43" t="s">
        <v>1329</v>
      </c>
    </row>
    <row r="591" spans="1:8" x14ac:dyDescent="0.2">
      <c r="A591" s="43" t="s">
        <v>1330</v>
      </c>
    </row>
    <row r="593" spans="1:8" x14ac:dyDescent="0.2">
      <c r="A593" s="43" t="s">
        <v>1331</v>
      </c>
      <c r="B593" s="43" t="s">
        <v>1332</v>
      </c>
    </row>
    <row r="594" spans="1:8" x14ac:dyDescent="0.2">
      <c r="A594" s="43" t="s">
        <v>1333</v>
      </c>
      <c r="B594" s="43" t="s">
        <v>1334</v>
      </c>
    </row>
    <row r="595" spans="1:8" x14ac:dyDescent="0.2">
      <c r="A595" s="43" t="s">
        <v>1335</v>
      </c>
      <c r="B595" s="43" t="s">
        <v>1336</v>
      </c>
    </row>
    <row r="596" spans="1:8" x14ac:dyDescent="0.2">
      <c r="A596" s="43" t="s">
        <v>1337</v>
      </c>
      <c r="B596" s="43" t="s">
        <v>1338</v>
      </c>
    </row>
    <row r="597" spans="1:8" x14ac:dyDescent="0.2">
      <c r="A597" s="43" t="s">
        <v>1339</v>
      </c>
      <c r="B597" s="43" t="s">
        <v>1340</v>
      </c>
    </row>
    <row r="598" spans="1:8" x14ac:dyDescent="0.2">
      <c r="A598" s="43" t="s">
        <v>1341</v>
      </c>
      <c r="B598" s="43" t="s">
        <v>1342</v>
      </c>
    </row>
    <row r="600" spans="1:8" x14ac:dyDescent="0.2">
      <c r="A600" s="43" t="s">
        <v>1343</v>
      </c>
    </row>
    <row r="602" spans="1:8" x14ac:dyDescent="0.2">
      <c r="A602" s="148" t="s">
        <v>2639</v>
      </c>
      <c r="B602" s="148" t="s">
        <v>1267</v>
      </c>
      <c r="C602" s="148"/>
      <c r="D602" s="148"/>
      <c r="E602" s="148"/>
      <c r="F602" s="148" t="s">
        <v>780</v>
      </c>
      <c r="G602" s="148"/>
      <c r="H602" s="148"/>
    </row>
    <row r="603" spans="1:8" x14ac:dyDescent="0.2">
      <c r="A603" s="43" t="s">
        <v>1344</v>
      </c>
    </row>
    <row r="604" spans="1:8" x14ac:dyDescent="0.2">
      <c r="A604" s="43" t="s">
        <v>1345</v>
      </c>
    </row>
    <row r="606" spans="1:8" x14ac:dyDescent="0.2">
      <c r="A606" s="43" t="s">
        <v>1346</v>
      </c>
    </row>
    <row r="608" spans="1:8" ht="16" thickBot="1" x14ac:dyDescent="0.25">
      <c r="A608" s="43" t="s">
        <v>1331</v>
      </c>
      <c r="B608" s="43" t="s">
        <v>1332</v>
      </c>
    </row>
    <row r="609" spans="1:8" ht="16" thickBot="1" x14ac:dyDescent="0.25">
      <c r="B609" s="43" t="s">
        <v>1347</v>
      </c>
      <c r="H609" s="160">
        <v>7.0000000000000007E-2</v>
      </c>
    </row>
    <row r="611" spans="1:8" x14ac:dyDescent="0.2">
      <c r="A611" s="43" t="s">
        <v>1333</v>
      </c>
      <c r="B611" s="43" t="s">
        <v>1348</v>
      </c>
    </row>
    <row r="612" spans="1:8" x14ac:dyDescent="0.2">
      <c r="B612" s="43" t="s">
        <v>1349</v>
      </c>
    </row>
    <row r="613" spans="1:8" ht="16" thickBot="1" x14ac:dyDescent="0.25">
      <c r="B613" s="43" t="s">
        <v>1350</v>
      </c>
    </row>
    <row r="614" spans="1:8" ht="16" thickBot="1" x14ac:dyDescent="0.25">
      <c r="G614" s="43" t="s">
        <v>1351</v>
      </c>
      <c r="H614" s="159">
        <f>1.034^2-1</f>
        <v>6.9155999999999995E-2</v>
      </c>
    </row>
    <row r="616" spans="1:8" ht="16" thickBot="1" x14ac:dyDescent="0.25">
      <c r="A616" s="43" t="s">
        <v>1335</v>
      </c>
      <c r="B616" s="43" t="s">
        <v>1336</v>
      </c>
    </row>
    <row r="617" spans="1:8" ht="16" thickBot="1" x14ac:dyDescent="0.25">
      <c r="G617" s="43" t="s">
        <v>1352</v>
      </c>
      <c r="H617" s="159">
        <f>(1+6.8%/12)^12-1</f>
        <v>7.015988024972164E-2</v>
      </c>
    </row>
    <row r="619" spans="1:8" x14ac:dyDescent="0.2">
      <c r="A619" s="43" t="s">
        <v>1337</v>
      </c>
      <c r="B619" s="43" t="s">
        <v>1338</v>
      </c>
    </row>
    <row r="620" spans="1:8" x14ac:dyDescent="0.2">
      <c r="B620" s="43" t="s">
        <v>1353</v>
      </c>
    </row>
    <row r="621" spans="1:8" ht="16" thickBot="1" x14ac:dyDescent="0.25">
      <c r="B621" s="43" t="s">
        <v>1354</v>
      </c>
    </row>
    <row r="622" spans="1:8" ht="16" thickBot="1" x14ac:dyDescent="0.25">
      <c r="G622" s="43" t="s">
        <v>1355</v>
      </c>
      <c r="H622" s="159">
        <f>1.02^4-1</f>
        <v>8.2432159999999977E-2</v>
      </c>
    </row>
    <row r="624" spans="1:8" ht="16" thickBot="1" x14ac:dyDescent="0.25">
      <c r="A624" s="43" t="s">
        <v>1339</v>
      </c>
      <c r="B624" s="43" t="s">
        <v>1340</v>
      </c>
    </row>
    <row r="625" spans="1:8" ht="16" thickBot="1" x14ac:dyDescent="0.25">
      <c r="G625" s="43" t="s">
        <v>1356</v>
      </c>
      <c r="H625" s="159">
        <f>(1+6.5%/4)^4-1</f>
        <v>6.6601608791504452E-2</v>
      </c>
    </row>
    <row r="627" spans="1:8" ht="16" thickBot="1" x14ac:dyDescent="0.25">
      <c r="A627" s="43" t="s">
        <v>1341</v>
      </c>
      <c r="B627" s="43" t="s">
        <v>1342</v>
      </c>
    </row>
    <row r="628" spans="1:8" ht="16" thickBot="1" x14ac:dyDescent="0.25">
      <c r="G628" s="43" t="s">
        <v>1357</v>
      </c>
      <c r="H628" s="159">
        <f>(1+6%/365)^365-1</f>
        <v>6.1831310677866957E-2</v>
      </c>
    </row>
    <row r="630" spans="1:8" x14ac:dyDescent="0.2">
      <c r="A630" s="44" t="s">
        <v>1358</v>
      </c>
    </row>
    <row r="632" spans="1:8" x14ac:dyDescent="0.2">
      <c r="A632" s="158" t="s">
        <v>2721</v>
      </c>
      <c r="B632" s="158"/>
      <c r="C632" s="158"/>
      <c r="D632" s="158"/>
      <c r="E632" s="158"/>
      <c r="F632" s="158"/>
      <c r="G632" s="158"/>
      <c r="H632" s="158"/>
    </row>
    <row r="633" spans="1:8" x14ac:dyDescent="0.2">
      <c r="A633" s="43" t="s">
        <v>2722</v>
      </c>
    </row>
    <row r="634" spans="1:8" x14ac:dyDescent="0.2">
      <c r="A634" s="43" t="s">
        <v>2723</v>
      </c>
    </row>
    <row r="635" spans="1:8" x14ac:dyDescent="0.2">
      <c r="A635" s="43" t="s">
        <v>2724</v>
      </c>
    </row>
    <row r="636" spans="1:8" x14ac:dyDescent="0.2">
      <c r="A636" s="43" t="s">
        <v>2725</v>
      </c>
    </row>
    <row r="637" spans="1:8" x14ac:dyDescent="0.2">
      <c r="A637" s="43" t="s">
        <v>2726</v>
      </c>
    </row>
    <row r="638" spans="1:8" x14ac:dyDescent="0.2">
      <c r="A638" s="43" t="s">
        <v>2727</v>
      </c>
    </row>
    <row r="640" spans="1:8" x14ac:dyDescent="0.2">
      <c r="C640" s="47">
        <v>1</v>
      </c>
      <c r="G640" s="47">
        <v>0</v>
      </c>
    </row>
    <row r="642" spans="1:10" x14ac:dyDescent="0.2">
      <c r="A642" s="43" t="s">
        <v>2734</v>
      </c>
      <c r="C642" s="48">
        <f>-250000*(1+12%/12)^12</f>
        <v>-281706.25753299246</v>
      </c>
      <c r="E642" s="43" t="s">
        <v>2732</v>
      </c>
      <c r="G642" s="48">
        <v>250000</v>
      </c>
      <c r="H642" s="47" t="s">
        <v>2728</v>
      </c>
    </row>
    <row r="643" spans="1:10" x14ac:dyDescent="0.2">
      <c r="A643" s="43" t="s">
        <v>2735</v>
      </c>
      <c r="C643" s="48">
        <f>-250000*4%</f>
        <v>-10000</v>
      </c>
      <c r="E643" s="43" t="s">
        <v>2733</v>
      </c>
      <c r="G643" s="47">
        <f>-3%*G642</f>
        <v>-7500</v>
      </c>
      <c r="H643" s="43" t="s">
        <v>2729</v>
      </c>
      <c r="J643" s="43" t="s">
        <v>2730</v>
      </c>
    </row>
    <row r="644" spans="1:10" x14ac:dyDescent="0.2">
      <c r="A644" s="43" t="s">
        <v>2736</v>
      </c>
      <c r="C644" s="48">
        <v>1000</v>
      </c>
      <c r="G644" s="150">
        <f>G642+G643</f>
        <v>242500</v>
      </c>
      <c r="H644" s="43" t="s">
        <v>2731</v>
      </c>
    </row>
    <row r="645" spans="1:10" x14ac:dyDescent="0.2">
      <c r="C645" s="150">
        <f>SUM(C642:C644)</f>
        <v>-290706.25753299246</v>
      </c>
    </row>
    <row r="647" spans="1:10" x14ac:dyDescent="0.2">
      <c r="A647" s="43" t="s">
        <v>2737</v>
      </c>
    </row>
    <row r="648" spans="1:10" x14ac:dyDescent="0.2">
      <c r="A648" s="43" t="s">
        <v>2738</v>
      </c>
    </row>
    <row r="649" spans="1:10" x14ac:dyDescent="0.2">
      <c r="G649" s="43" t="s">
        <v>1221</v>
      </c>
    </row>
    <row r="650" spans="1:10" x14ac:dyDescent="0.2">
      <c r="B650" s="44" t="s">
        <v>1704</v>
      </c>
      <c r="E650" s="621">
        <f>-C645/G644-1</f>
        <v>0.19878869085770079</v>
      </c>
      <c r="G650" s="43" t="s">
        <v>2739</v>
      </c>
    </row>
    <row r="655" spans="1:10" x14ac:dyDescent="0.2">
      <c r="A655" s="148" t="s">
        <v>2640</v>
      </c>
      <c r="B655" s="148" t="s">
        <v>1359</v>
      </c>
      <c r="C655" s="148"/>
      <c r="D655" s="148"/>
      <c r="E655" s="148"/>
      <c r="F655" s="148"/>
      <c r="G655" s="148" t="s">
        <v>780</v>
      </c>
      <c r="H655" s="148"/>
    </row>
    <row r="656" spans="1:10" x14ac:dyDescent="0.2">
      <c r="A656" s="43" t="s">
        <v>1360</v>
      </c>
    </row>
    <row r="657" spans="1:8" x14ac:dyDescent="0.2">
      <c r="A657" s="43" t="s">
        <v>1361</v>
      </c>
    </row>
    <row r="659" spans="1:8" x14ac:dyDescent="0.2">
      <c r="A659" s="43" t="s">
        <v>1362</v>
      </c>
      <c r="B659" s="43" t="s">
        <v>1363</v>
      </c>
    </row>
    <row r="660" spans="1:8" x14ac:dyDescent="0.2">
      <c r="A660" s="43" t="s">
        <v>1364</v>
      </c>
      <c r="B660" s="43" t="s">
        <v>1365</v>
      </c>
    </row>
    <row r="661" spans="1:8" x14ac:dyDescent="0.2">
      <c r="A661" s="43" t="s">
        <v>1335</v>
      </c>
      <c r="B661" s="43" t="s">
        <v>1366</v>
      </c>
    </row>
    <row r="662" spans="1:8" x14ac:dyDescent="0.2">
      <c r="A662" s="43" t="s">
        <v>1337</v>
      </c>
      <c r="B662" s="43" t="s">
        <v>1367</v>
      </c>
    </row>
    <row r="663" spans="1:8" x14ac:dyDescent="0.2">
      <c r="A663" s="43" t="s">
        <v>1339</v>
      </c>
      <c r="B663" s="43" t="s">
        <v>1368</v>
      </c>
    </row>
    <row r="665" spans="1:8" x14ac:dyDescent="0.2">
      <c r="A665" s="43" t="s">
        <v>1369</v>
      </c>
    </row>
    <row r="667" spans="1:8" x14ac:dyDescent="0.2">
      <c r="A667" s="148" t="s">
        <v>2640</v>
      </c>
      <c r="B667" s="148" t="s">
        <v>1267</v>
      </c>
      <c r="C667" s="148"/>
      <c r="D667" s="148"/>
      <c r="E667" s="148"/>
      <c r="F667" s="148"/>
      <c r="G667" s="148"/>
      <c r="H667" s="148"/>
    </row>
    <row r="668" spans="1:8" x14ac:dyDescent="0.2">
      <c r="A668" s="43" t="s">
        <v>611</v>
      </c>
      <c r="B668" s="77">
        <v>0.24</v>
      </c>
    </row>
    <row r="669" spans="1:8" x14ac:dyDescent="0.2">
      <c r="A669" s="43" t="s">
        <v>610</v>
      </c>
      <c r="B669" s="162">
        <f>(1+0.23/4)^4-1</f>
        <v>0.25060886878906308</v>
      </c>
      <c r="F669" s="43" t="s">
        <v>1370</v>
      </c>
    </row>
    <row r="670" spans="1:8" x14ac:dyDescent="0.2">
      <c r="A670" s="43" t="s">
        <v>1371</v>
      </c>
      <c r="B670" s="162">
        <f>940000/(940000-22%*940000)-1</f>
        <v>0.28205128205128216</v>
      </c>
      <c r="F670" s="43" t="s">
        <v>1372</v>
      </c>
    </row>
    <row r="671" spans="1:8" x14ac:dyDescent="0.2">
      <c r="A671" s="43" t="s">
        <v>1373</v>
      </c>
      <c r="B671" s="162">
        <f>(1+22%/12)^12-1</f>
        <v>0.24359657794448264</v>
      </c>
      <c r="F671" s="43" t="s">
        <v>1374</v>
      </c>
    </row>
    <row r="672" spans="1:8" x14ac:dyDescent="0.2">
      <c r="A672" s="43" t="s">
        <v>1375</v>
      </c>
      <c r="B672" s="156">
        <f>(940000-2%*940000)/(940000-25%*940000)-1</f>
        <v>0.30666666666666664</v>
      </c>
      <c r="F672" s="43" t="s">
        <v>1376</v>
      </c>
    </row>
    <row r="673" spans="1:8" x14ac:dyDescent="0.2">
      <c r="B673" s="156"/>
    </row>
    <row r="674" spans="1:8" x14ac:dyDescent="0.2">
      <c r="A674" s="44" t="s">
        <v>1377</v>
      </c>
      <c r="B674" s="156"/>
    </row>
    <row r="675" spans="1:8" x14ac:dyDescent="0.2">
      <c r="B675" s="156"/>
    </row>
    <row r="676" spans="1:8" x14ac:dyDescent="0.2">
      <c r="A676" s="43" t="s">
        <v>1378</v>
      </c>
      <c r="B676" s="156"/>
      <c r="D676" s="49">
        <v>1</v>
      </c>
      <c r="E676" s="59"/>
      <c r="F676" s="49">
        <v>0</v>
      </c>
    </row>
    <row r="677" spans="1:8" x14ac:dyDescent="0.2">
      <c r="B677" s="156"/>
      <c r="D677" s="48">
        <f>-F677</f>
        <v>-940000</v>
      </c>
      <c r="F677" s="48">
        <v>940000</v>
      </c>
      <c r="G677" s="43" t="s">
        <v>1379</v>
      </c>
    </row>
    <row r="678" spans="1:8" x14ac:dyDescent="0.2">
      <c r="B678" s="156"/>
      <c r="C678" s="43" t="s">
        <v>1380</v>
      </c>
      <c r="D678" s="48">
        <f>2%*D677*-1</f>
        <v>18800</v>
      </c>
      <c r="F678" s="48">
        <f>-25%*F677</f>
        <v>-235000</v>
      </c>
      <c r="G678" s="43" t="s">
        <v>1381</v>
      </c>
    </row>
    <row r="679" spans="1:8" x14ac:dyDescent="0.2">
      <c r="B679" s="156"/>
      <c r="D679" s="164">
        <f>D677+D678</f>
        <v>-921200</v>
      </c>
      <c r="F679" s="163">
        <f>F677+F678</f>
        <v>705000</v>
      </c>
      <c r="G679" s="43" t="s">
        <v>1382</v>
      </c>
    </row>
    <row r="680" spans="1:8" x14ac:dyDescent="0.2">
      <c r="B680" s="156"/>
    </row>
    <row r="681" spans="1:8" x14ac:dyDescent="0.2">
      <c r="B681" s="156"/>
      <c r="F681" s="43" t="s">
        <v>1383</v>
      </c>
    </row>
    <row r="682" spans="1:8" x14ac:dyDescent="0.2">
      <c r="B682" s="156"/>
    </row>
    <row r="683" spans="1:8" x14ac:dyDescent="0.2">
      <c r="B683" s="156"/>
    </row>
    <row r="685" spans="1:8" x14ac:dyDescent="0.2">
      <c r="A685" s="148" t="s">
        <v>2641</v>
      </c>
      <c r="B685" s="148" t="s">
        <v>1384</v>
      </c>
      <c r="C685" s="148"/>
      <c r="D685" s="148"/>
      <c r="E685" s="148"/>
      <c r="F685" s="148"/>
      <c r="G685" s="148" t="s">
        <v>780</v>
      </c>
      <c r="H685" s="148"/>
    </row>
    <row r="686" spans="1:8" x14ac:dyDescent="0.2">
      <c r="A686" s="43" t="s">
        <v>1385</v>
      </c>
    </row>
    <row r="687" spans="1:8" x14ac:dyDescent="0.2">
      <c r="A687" s="43" t="s">
        <v>1386</v>
      </c>
    </row>
    <row r="689" spans="1:8" x14ac:dyDescent="0.2">
      <c r="A689" s="43" t="s">
        <v>1331</v>
      </c>
      <c r="B689" s="43" t="s">
        <v>1387</v>
      </c>
    </row>
    <row r="690" spans="1:8" x14ac:dyDescent="0.2">
      <c r="A690" s="43" t="s">
        <v>1333</v>
      </c>
      <c r="B690" s="43" t="s">
        <v>1388</v>
      </c>
    </row>
    <row r="691" spans="1:8" x14ac:dyDescent="0.2">
      <c r="A691" s="43" t="s">
        <v>1335</v>
      </c>
      <c r="B691" s="43" t="s">
        <v>1389</v>
      </c>
    </row>
    <row r="692" spans="1:8" x14ac:dyDescent="0.2">
      <c r="A692" s="43" t="s">
        <v>1337</v>
      </c>
      <c r="B692" s="43" t="s">
        <v>1390</v>
      </c>
    </row>
    <row r="693" spans="1:8" x14ac:dyDescent="0.2">
      <c r="A693" s="43" t="s">
        <v>1339</v>
      </c>
      <c r="B693" s="43" t="s">
        <v>1391</v>
      </c>
    </row>
    <row r="695" spans="1:8" x14ac:dyDescent="0.2">
      <c r="A695" s="43" t="s">
        <v>1392</v>
      </c>
    </row>
    <row r="697" spans="1:8" x14ac:dyDescent="0.2">
      <c r="A697" s="148" t="s">
        <v>2641</v>
      </c>
      <c r="B697" s="148" t="s">
        <v>1267</v>
      </c>
      <c r="C697" s="148"/>
      <c r="D697" s="148"/>
      <c r="E697" s="148"/>
      <c r="F697" s="148"/>
      <c r="G697" s="148" t="s">
        <v>780</v>
      </c>
      <c r="H697" s="148"/>
    </row>
    <row r="699" spans="1:8" x14ac:dyDescent="0.2">
      <c r="A699" s="43" t="s">
        <v>1331</v>
      </c>
      <c r="C699" s="151">
        <f>(1+4%/12)^12-1</f>
        <v>4.0741542919790819E-2</v>
      </c>
      <c r="E699" s="43" t="s">
        <v>1393</v>
      </c>
    </row>
    <row r="700" spans="1:8" x14ac:dyDescent="0.2">
      <c r="A700" s="43" t="s">
        <v>1333</v>
      </c>
      <c r="C700" s="165">
        <v>4.3999999999999997E-2</v>
      </c>
    </row>
    <row r="701" spans="1:8" x14ac:dyDescent="0.2">
      <c r="A701" s="43" t="s">
        <v>1335</v>
      </c>
      <c r="C701" s="161">
        <f>1.02^2-1</f>
        <v>4.0399999999999991E-2</v>
      </c>
      <c r="E701" s="43" t="s">
        <v>1394</v>
      </c>
    </row>
    <row r="702" spans="1:8" x14ac:dyDescent="0.2">
      <c r="A702" s="43" t="s">
        <v>1337</v>
      </c>
      <c r="C702" s="161">
        <f>1.01^4-1</f>
        <v>4.0604010000000024E-2</v>
      </c>
      <c r="E702" s="43" t="s">
        <v>1395</v>
      </c>
    </row>
    <row r="703" spans="1:8" x14ac:dyDescent="0.2">
      <c r="A703" s="43" t="s">
        <v>1339</v>
      </c>
      <c r="C703" s="161">
        <f>(1+3.5%/360)^360-1</f>
        <v>3.5617946923420796E-2</v>
      </c>
      <c r="E703" s="43" t="s">
        <v>1396</v>
      </c>
    </row>
    <row r="705" spans="1:8" x14ac:dyDescent="0.2">
      <c r="A705" s="43" t="s">
        <v>1397</v>
      </c>
    </row>
    <row r="707" spans="1:8" x14ac:dyDescent="0.2">
      <c r="A707" s="148" t="s">
        <v>2642</v>
      </c>
      <c r="B707" s="148" t="s">
        <v>1399</v>
      </c>
      <c r="C707" s="148"/>
      <c r="D707" s="148"/>
      <c r="E707" s="148"/>
      <c r="F707" s="148"/>
      <c r="G707" s="148" t="s">
        <v>780</v>
      </c>
      <c r="H707" s="148"/>
    </row>
    <row r="708" spans="1:8" x14ac:dyDescent="0.2">
      <c r="A708" s="43" t="s">
        <v>1400</v>
      </c>
    </row>
    <row r="709" spans="1:8" x14ac:dyDescent="0.2">
      <c r="A709" s="43" t="s">
        <v>1401</v>
      </c>
    </row>
    <row r="710" spans="1:8" x14ac:dyDescent="0.2">
      <c r="A710" s="43" t="s">
        <v>1402</v>
      </c>
    </row>
    <row r="712" spans="1:8" x14ac:dyDescent="0.2">
      <c r="A712" s="43" t="s">
        <v>1403</v>
      </c>
    </row>
    <row r="714" spans="1:8" x14ac:dyDescent="0.2">
      <c r="A714" s="148" t="s">
        <v>2642</v>
      </c>
      <c r="B714" s="148" t="s">
        <v>1267</v>
      </c>
      <c r="C714" s="148"/>
      <c r="D714" s="148"/>
      <c r="E714" s="148"/>
      <c r="F714" s="148"/>
      <c r="G714" s="148" t="s">
        <v>780</v>
      </c>
      <c r="H714" s="148"/>
    </row>
    <row r="716" spans="1:8" x14ac:dyDescent="0.2">
      <c r="B716" s="152">
        <f>(15000*(1+3%/3)^6)/(15000*0.99)-1</f>
        <v>7.2242576364646593E-2</v>
      </c>
      <c r="E716" s="43" t="s">
        <v>1404</v>
      </c>
    </row>
    <row r="718" spans="1:8" x14ac:dyDescent="0.2">
      <c r="A718" s="43" t="s">
        <v>172</v>
      </c>
    </row>
    <row r="719" spans="1:8" x14ac:dyDescent="0.2">
      <c r="C719" s="49">
        <v>1</v>
      </c>
      <c r="D719" s="49"/>
      <c r="E719" s="49">
        <v>0</v>
      </c>
    </row>
    <row r="720" spans="1:8" x14ac:dyDescent="0.2">
      <c r="B720" s="43" t="s">
        <v>1405</v>
      </c>
      <c r="C720" s="48">
        <f>-15000*1.01^6</f>
        <v>-15922.802259015001</v>
      </c>
      <c r="D720" s="47"/>
      <c r="E720" s="48">
        <v>15000</v>
      </c>
      <c r="F720" s="43" t="s">
        <v>1213</v>
      </c>
    </row>
    <row r="721" spans="1:8" x14ac:dyDescent="0.2">
      <c r="C721" s="47"/>
      <c r="D721" s="47"/>
      <c r="E721" s="47">
        <f>-1%*E720</f>
        <v>-150</v>
      </c>
      <c r="F721" s="43" t="s">
        <v>1406</v>
      </c>
    </row>
    <row r="722" spans="1:8" x14ac:dyDescent="0.2">
      <c r="C722" s="48"/>
      <c r="D722" s="47"/>
      <c r="E722" s="48">
        <f>E720+E721</f>
        <v>14850</v>
      </c>
      <c r="F722" s="43" t="s">
        <v>1277</v>
      </c>
    </row>
    <row r="724" spans="1:8" x14ac:dyDescent="0.2">
      <c r="C724" s="72">
        <f>B716</f>
        <v>7.2242576364646593E-2</v>
      </c>
      <c r="E724" s="43" t="s">
        <v>1407</v>
      </c>
    </row>
    <row r="726" spans="1:8" x14ac:dyDescent="0.2">
      <c r="A726" s="43" t="s">
        <v>1408</v>
      </c>
    </row>
    <row r="727" spans="1:8" x14ac:dyDescent="0.2">
      <c r="A727" s="43" t="s">
        <v>1409</v>
      </c>
    </row>
    <row r="728" spans="1:8" x14ac:dyDescent="0.2">
      <c r="A728" s="43" t="s">
        <v>1410</v>
      </c>
    </row>
    <row r="729" spans="1:8" x14ac:dyDescent="0.2">
      <c r="A729" s="43" t="s">
        <v>1411</v>
      </c>
    </row>
    <row r="730" spans="1:8" x14ac:dyDescent="0.2">
      <c r="A730" s="43" t="s">
        <v>1412</v>
      </c>
    </row>
    <row r="731" spans="1:8" x14ac:dyDescent="0.2">
      <c r="A731" s="43" t="s">
        <v>1413</v>
      </c>
    </row>
    <row r="732" spans="1:8" ht="16" thickBot="1" x14ac:dyDescent="0.25"/>
    <row r="733" spans="1:8" x14ac:dyDescent="0.2">
      <c r="A733" s="212" t="s">
        <v>2740</v>
      </c>
      <c r="B733" s="213"/>
      <c r="C733" s="213"/>
      <c r="D733" s="213"/>
      <c r="E733" s="213"/>
      <c r="F733" s="213"/>
      <c r="G733" s="213"/>
      <c r="H733" s="214"/>
    </row>
    <row r="734" spans="1:8" x14ac:dyDescent="0.2">
      <c r="A734" s="322"/>
      <c r="H734" s="216"/>
    </row>
    <row r="735" spans="1:8" x14ac:dyDescent="0.2">
      <c r="A735" s="322" t="s">
        <v>2741</v>
      </c>
      <c r="H735" s="216"/>
    </row>
    <row r="736" spans="1:8" x14ac:dyDescent="0.2">
      <c r="A736" s="322" t="s">
        <v>2742</v>
      </c>
      <c r="H736" s="216"/>
    </row>
    <row r="737" spans="1:8" x14ac:dyDescent="0.2">
      <c r="A737" s="322" t="s">
        <v>2743</v>
      </c>
      <c r="F737" s="43" t="s">
        <v>1144</v>
      </c>
      <c r="H737" s="216"/>
    </row>
    <row r="738" spans="1:8" x14ac:dyDescent="0.2">
      <c r="A738" s="322"/>
      <c r="H738" s="216"/>
    </row>
    <row r="739" spans="1:8" x14ac:dyDescent="0.2">
      <c r="A739" s="322" t="s">
        <v>2744</v>
      </c>
      <c r="H739" s="216"/>
    </row>
    <row r="740" spans="1:8" x14ac:dyDescent="0.2">
      <c r="A740" s="322"/>
      <c r="F740" s="43" t="s">
        <v>2745</v>
      </c>
      <c r="H740" s="216"/>
    </row>
    <row r="741" spans="1:8" x14ac:dyDescent="0.2">
      <c r="A741" s="322"/>
      <c r="H741" s="216"/>
    </row>
    <row r="742" spans="1:8" x14ac:dyDescent="0.2">
      <c r="A742" s="322" t="s">
        <v>2746</v>
      </c>
      <c r="H742" s="216"/>
    </row>
    <row r="743" spans="1:8" x14ac:dyDescent="0.2">
      <c r="A743" s="322" t="s">
        <v>2747</v>
      </c>
      <c r="H743" s="216"/>
    </row>
    <row r="744" spans="1:8" x14ac:dyDescent="0.2">
      <c r="A744" s="322" t="s">
        <v>2748</v>
      </c>
      <c r="H744" s="216"/>
    </row>
    <row r="745" spans="1:8" x14ac:dyDescent="0.2">
      <c r="A745" s="322" t="s">
        <v>2749</v>
      </c>
      <c r="H745" s="216"/>
    </row>
    <row r="746" spans="1:8" x14ac:dyDescent="0.2">
      <c r="A746" s="322"/>
      <c r="F746" s="43" t="s">
        <v>2706</v>
      </c>
      <c r="H746" s="216"/>
    </row>
    <row r="747" spans="1:8" x14ac:dyDescent="0.2">
      <c r="A747" s="322"/>
      <c r="H747" s="216"/>
    </row>
    <row r="748" spans="1:8" x14ac:dyDescent="0.2">
      <c r="A748" s="322" t="s">
        <v>2750</v>
      </c>
      <c r="H748" s="216"/>
    </row>
    <row r="749" spans="1:8" x14ac:dyDescent="0.2">
      <c r="A749" s="322" t="s">
        <v>2751</v>
      </c>
      <c r="H749" s="216"/>
    </row>
    <row r="750" spans="1:8" x14ac:dyDescent="0.2">
      <c r="A750" s="322" t="s">
        <v>2752</v>
      </c>
      <c r="H750" s="216"/>
    </row>
    <row r="751" spans="1:8" ht="16" thickBot="1" x14ac:dyDescent="0.25">
      <c r="A751" s="235" t="s">
        <v>2753</v>
      </c>
      <c r="B751" s="218"/>
      <c r="C751" s="218"/>
      <c r="D751" s="218"/>
      <c r="E751" s="218"/>
      <c r="F751" s="218"/>
      <c r="G751" s="218"/>
      <c r="H751" s="219"/>
    </row>
  </sheetData>
  <mergeCells count="14">
    <mergeCell ref="A1:H1"/>
    <mergeCell ref="G476:G477"/>
    <mergeCell ref="E476:E477"/>
    <mergeCell ref="D476:D477"/>
    <mergeCell ref="B476:B477"/>
    <mergeCell ref="A476:A477"/>
    <mergeCell ref="H476:I477"/>
    <mergeCell ref="A346:A347"/>
    <mergeCell ref="B346:B347"/>
    <mergeCell ref="D346:D347"/>
    <mergeCell ref="E346:E347"/>
    <mergeCell ref="G346:G347"/>
    <mergeCell ref="C193:C194"/>
    <mergeCell ref="B221:E22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501"/>
  <sheetViews>
    <sheetView rightToLeft="1" zoomScale="190" zoomScaleNormal="190" workbookViewId="0">
      <selection activeCell="C7" sqref="C7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30" t="s">
        <v>3298</v>
      </c>
      <c r="B1" s="730"/>
      <c r="C1" s="730"/>
      <c r="D1" s="730"/>
      <c r="E1" s="730"/>
      <c r="F1" s="730"/>
      <c r="G1" s="730"/>
      <c r="H1" s="730"/>
    </row>
    <row r="3" spans="1:8" x14ac:dyDescent="0.2">
      <c r="A3" s="166" t="s">
        <v>1414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1415</v>
      </c>
    </row>
    <row r="5" spans="1:8" x14ac:dyDescent="0.2">
      <c r="A5" s="92" t="s">
        <v>1416</v>
      </c>
    </row>
    <row r="6" spans="1:8" x14ac:dyDescent="0.2">
      <c r="A6" s="92" t="s">
        <v>1417</v>
      </c>
    </row>
    <row r="7" spans="1:8" x14ac:dyDescent="0.2">
      <c r="A7" s="92" t="s">
        <v>1418</v>
      </c>
    </row>
    <row r="8" spans="1:8" x14ac:dyDescent="0.2">
      <c r="A8" s="92" t="s">
        <v>1419</v>
      </c>
    </row>
    <row r="10" spans="1:8" x14ac:dyDescent="0.2">
      <c r="A10" s="166" t="s">
        <v>1420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1421</v>
      </c>
    </row>
    <row r="12" spans="1:8" x14ac:dyDescent="0.2">
      <c r="A12" s="92" t="s">
        <v>1422</v>
      </c>
    </row>
    <row r="13" spans="1:8" x14ac:dyDescent="0.2">
      <c r="A13" s="92" t="s">
        <v>1423</v>
      </c>
    </row>
    <row r="14" spans="1:8" x14ac:dyDescent="0.2">
      <c r="A14" s="92" t="s">
        <v>1424</v>
      </c>
    </row>
    <row r="15" spans="1:8" x14ac:dyDescent="0.2">
      <c r="A15" s="92" t="s">
        <v>1425</v>
      </c>
    </row>
    <row r="17" spans="1:8" x14ac:dyDescent="0.2">
      <c r="A17" s="166" t="s">
        <v>1426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1427</v>
      </c>
    </row>
    <row r="19" spans="1:8" x14ac:dyDescent="0.2">
      <c r="A19" s="92" t="s">
        <v>1428</v>
      </c>
    </row>
    <row r="20" spans="1:8" x14ac:dyDescent="0.2">
      <c r="A20" s="92" t="s">
        <v>1429</v>
      </c>
    </row>
    <row r="21" spans="1:8" x14ac:dyDescent="0.2">
      <c r="A21" s="92" t="s">
        <v>1430</v>
      </c>
    </row>
    <row r="22" spans="1:8" x14ac:dyDescent="0.2">
      <c r="A22" s="92" t="s">
        <v>1431</v>
      </c>
    </row>
    <row r="23" spans="1:8" x14ac:dyDescent="0.2">
      <c r="A23" s="92" t="s">
        <v>1432</v>
      </c>
    </row>
    <row r="24" spans="1:8" x14ac:dyDescent="0.2">
      <c r="A24" s="92" t="s">
        <v>1433</v>
      </c>
    </row>
    <row r="25" spans="1:8" x14ac:dyDescent="0.2">
      <c r="A25" s="92" t="s">
        <v>1434</v>
      </c>
    </row>
    <row r="26" spans="1:8" x14ac:dyDescent="0.2">
      <c r="A26" s="92" t="s">
        <v>1435</v>
      </c>
    </row>
    <row r="27" spans="1:8" x14ac:dyDescent="0.2">
      <c r="A27" s="92" t="s">
        <v>1436</v>
      </c>
    </row>
    <row r="28" spans="1:8" x14ac:dyDescent="0.2">
      <c r="A28" s="92" t="s">
        <v>1437</v>
      </c>
    </row>
    <row r="29" spans="1:8" x14ac:dyDescent="0.2">
      <c r="A29" s="92" t="s">
        <v>1438</v>
      </c>
    </row>
    <row r="30" spans="1:8" x14ac:dyDescent="0.2">
      <c r="A30" s="92" t="s">
        <v>1439</v>
      </c>
    </row>
    <row r="31" spans="1:8" x14ac:dyDescent="0.2">
      <c r="A31" s="92" t="s">
        <v>1440</v>
      </c>
    </row>
    <row r="32" spans="1:8" x14ac:dyDescent="0.2">
      <c r="A32" s="92" t="s">
        <v>1441</v>
      </c>
    </row>
    <row r="33" spans="1:8" x14ac:dyDescent="0.2">
      <c r="A33" s="92" t="s">
        <v>1442</v>
      </c>
    </row>
    <row r="34" spans="1:8" x14ac:dyDescent="0.2">
      <c r="A34" s="92" t="s">
        <v>1443</v>
      </c>
    </row>
    <row r="35" spans="1:8" x14ac:dyDescent="0.2">
      <c r="A35" s="92" t="s">
        <v>1444</v>
      </c>
    </row>
    <row r="36" spans="1:8" x14ac:dyDescent="0.2">
      <c r="A36" s="92" t="s">
        <v>1445</v>
      </c>
    </row>
    <row r="37" spans="1:8" x14ac:dyDescent="0.2">
      <c r="A37" s="92" t="s">
        <v>1446</v>
      </c>
    </row>
    <row r="38" spans="1:8" x14ac:dyDescent="0.2">
      <c r="A38" s="92" t="s">
        <v>1447</v>
      </c>
    </row>
    <row r="40" spans="1:8" x14ac:dyDescent="0.2">
      <c r="A40" s="622" t="s">
        <v>2754</v>
      </c>
      <c r="B40" s="623"/>
      <c r="C40" s="623"/>
      <c r="D40" s="623"/>
      <c r="E40" s="623"/>
      <c r="F40" s="623"/>
      <c r="G40" s="623"/>
      <c r="H40" s="623"/>
    </row>
    <row r="42" spans="1:8" x14ac:dyDescent="0.2">
      <c r="B42" s="169" t="s">
        <v>1448</v>
      </c>
      <c r="C42" s="169" t="s">
        <v>1449</v>
      </c>
      <c r="D42" s="169" t="s">
        <v>1450</v>
      </c>
      <c r="E42" s="169" t="s">
        <v>1451</v>
      </c>
      <c r="F42" s="169" t="s">
        <v>1452</v>
      </c>
      <c r="G42" s="169" t="s">
        <v>1453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1454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2755</v>
      </c>
    </row>
    <row r="49" spans="1:8" x14ac:dyDescent="0.2">
      <c r="A49" s="92" t="s">
        <v>2756</v>
      </c>
    </row>
    <row r="50" spans="1:8" x14ac:dyDescent="0.2">
      <c r="A50" s="92" t="s">
        <v>3299</v>
      </c>
    </row>
    <row r="52" spans="1:8" x14ac:dyDescent="0.2">
      <c r="A52" s="92" t="s">
        <v>111</v>
      </c>
    </row>
    <row r="53" spans="1:8" x14ac:dyDescent="0.2">
      <c r="A53" s="93" t="s">
        <v>2757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1455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1456</v>
      </c>
    </row>
    <row r="57" spans="1:8" x14ac:dyDescent="0.2">
      <c r="A57" s="92" t="s">
        <v>1457</v>
      </c>
    </row>
    <row r="58" spans="1:8" x14ac:dyDescent="0.2">
      <c r="A58" s="92" t="s">
        <v>1458</v>
      </c>
    </row>
    <row r="59" spans="1:8" x14ac:dyDescent="0.2">
      <c r="A59" s="92" t="s">
        <v>1459</v>
      </c>
    </row>
    <row r="61" spans="1:8" x14ac:dyDescent="0.2">
      <c r="A61" s="93" t="s">
        <v>1460</v>
      </c>
    </row>
    <row r="62" spans="1:8" x14ac:dyDescent="0.2">
      <c r="A62" s="92" t="s">
        <v>1461</v>
      </c>
      <c r="D62" s="466">
        <v>4.0000000000000001E-3</v>
      </c>
      <c r="E62" s="92" t="s">
        <v>87</v>
      </c>
    </row>
    <row r="63" spans="1:8" x14ac:dyDescent="0.2">
      <c r="A63" s="92" t="s">
        <v>1462</v>
      </c>
      <c r="D63" s="462">
        <v>24</v>
      </c>
      <c r="E63" s="92" t="s">
        <v>89</v>
      </c>
    </row>
    <row r="64" spans="1:8" x14ac:dyDescent="0.2">
      <c r="A64" s="92" t="s">
        <v>1464</v>
      </c>
      <c r="D64" s="624">
        <f>PMT(D62,D63,D65,D66)</f>
        <v>-175.12750336261169</v>
      </c>
      <c r="E64" s="92" t="s">
        <v>91</v>
      </c>
    </row>
    <row r="65" spans="1:7" x14ac:dyDescent="0.2">
      <c r="A65" s="92" t="s">
        <v>1463</v>
      </c>
      <c r="D65" s="462">
        <v>4000</v>
      </c>
      <c r="E65" s="92" t="s">
        <v>281</v>
      </c>
    </row>
    <row r="66" spans="1:7" x14ac:dyDescent="0.2">
      <c r="A66" s="92" t="s">
        <v>1465</v>
      </c>
      <c r="D66" s="462">
        <v>0</v>
      </c>
      <c r="E66" s="92" t="s">
        <v>105</v>
      </c>
    </row>
    <row r="68" spans="1:7" x14ac:dyDescent="0.2">
      <c r="A68" s="93" t="s">
        <v>1466</v>
      </c>
    </row>
    <row r="69" spans="1:7" x14ac:dyDescent="0.2">
      <c r="A69" s="93"/>
    </row>
    <row r="70" spans="1:7" x14ac:dyDescent="0.2">
      <c r="D70" s="172" t="s">
        <v>1467</v>
      </c>
      <c r="E70" s="172" t="s">
        <v>1468</v>
      </c>
      <c r="F70" s="495" t="s">
        <v>1469</v>
      </c>
      <c r="G70" s="172" t="s">
        <v>1470</v>
      </c>
    </row>
    <row r="71" spans="1:7" x14ac:dyDescent="0.2">
      <c r="B71" s="169" t="s">
        <v>1448</v>
      </c>
      <c r="C71" s="169" t="s">
        <v>1449</v>
      </c>
      <c r="D71" s="169" t="s">
        <v>1450</v>
      </c>
      <c r="E71" s="169" t="s">
        <v>1451</v>
      </c>
      <c r="F71" s="496" t="s">
        <v>1452</v>
      </c>
      <c r="G71" s="169" t="s">
        <v>1453</v>
      </c>
    </row>
    <row r="72" spans="1:7" x14ac:dyDescent="0.2">
      <c r="B72" s="168">
        <v>0</v>
      </c>
      <c r="C72" s="170"/>
      <c r="D72" s="170"/>
      <c r="E72" s="170"/>
      <c r="F72" s="170"/>
      <c r="G72" s="171">
        <f>D65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D$62*G72</f>
        <v>16</v>
      </c>
      <c r="F73" s="173">
        <f>-D64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1">
        <f t="shared" ref="C74:C96" si="1">G73</f>
        <v>3840.8724966373884</v>
      </c>
      <c r="D74" s="173">
        <f t="shared" ref="D74:D96" si="2">F74-E74</f>
        <v>159.76401337606214</v>
      </c>
      <c r="E74" s="173">
        <f>D$62*G73</f>
        <v>15.363489986549554</v>
      </c>
      <c r="F74" s="173">
        <f>F73</f>
        <v>175.12750336261169</v>
      </c>
      <c r="G74" s="173">
        <f t="shared" ref="G74:G96" si="3">C74-D74</f>
        <v>3681.1084832613265</v>
      </c>
    </row>
    <row r="75" spans="1:7" x14ac:dyDescent="0.2">
      <c r="B75" s="168">
        <f t="shared" si="0"/>
        <v>3</v>
      </c>
      <c r="C75" s="171">
        <f t="shared" si="1"/>
        <v>3681.1084832613265</v>
      </c>
      <c r="D75" s="173">
        <f t="shared" si="2"/>
        <v>160.40306942956639</v>
      </c>
      <c r="E75" s="173">
        <f t="shared" ref="E75:E96" si="4">D$62*G74</f>
        <v>14.724433933045306</v>
      </c>
      <c r="F75" s="173">
        <f t="shared" ref="F75:F96" si="5">F74</f>
        <v>175.12750336261169</v>
      </c>
      <c r="G75" s="173">
        <f t="shared" si="3"/>
        <v>3520.7054138317599</v>
      </c>
    </row>
    <row r="76" spans="1:7" x14ac:dyDescent="0.2">
      <c r="B76" s="168">
        <f t="shared" si="0"/>
        <v>4</v>
      </c>
      <c r="C76" s="171">
        <f t="shared" si="1"/>
        <v>3520.7054138317599</v>
      </c>
      <c r="D76" s="173">
        <f t="shared" si="2"/>
        <v>161.04468170728464</v>
      </c>
      <c r="E76" s="173">
        <f t="shared" si="4"/>
        <v>14.08282165532704</v>
      </c>
      <c r="F76" s="173">
        <f t="shared" si="5"/>
        <v>175.12750336261169</v>
      </c>
      <c r="G76" s="173">
        <f t="shared" si="3"/>
        <v>3359.6607321244751</v>
      </c>
    </row>
    <row r="77" spans="1:7" x14ac:dyDescent="0.2">
      <c r="B77" s="168">
        <f t="shared" si="0"/>
        <v>5</v>
      </c>
      <c r="C77" s="171">
        <f t="shared" si="1"/>
        <v>3359.6607321244751</v>
      </c>
      <c r="D77" s="173">
        <f t="shared" si="2"/>
        <v>161.68886043411379</v>
      </c>
      <c r="E77" s="173">
        <f t="shared" si="4"/>
        <v>13.438642928497901</v>
      </c>
      <c r="F77" s="173">
        <f t="shared" si="5"/>
        <v>175.12750336261169</v>
      </c>
      <c r="G77" s="173">
        <f t="shared" si="3"/>
        <v>3197.9718716903612</v>
      </c>
    </row>
    <row r="78" spans="1:7" x14ac:dyDescent="0.2">
      <c r="B78" s="168">
        <f t="shared" si="0"/>
        <v>6</v>
      </c>
      <c r="C78" s="171">
        <f t="shared" si="1"/>
        <v>3197.9718716903612</v>
      </c>
      <c r="D78" s="173">
        <f t="shared" si="2"/>
        <v>162.33561587585024</v>
      </c>
      <c r="E78" s="173">
        <f t="shared" si="4"/>
        <v>12.791887486761444</v>
      </c>
      <c r="F78" s="173">
        <f t="shared" si="5"/>
        <v>175.12750336261169</v>
      </c>
      <c r="G78" s="173">
        <f t="shared" si="3"/>
        <v>3035.6362558145111</v>
      </c>
    </row>
    <row r="79" spans="1:7" x14ac:dyDescent="0.2">
      <c r="B79" s="168">
        <f t="shared" si="0"/>
        <v>7</v>
      </c>
      <c r="C79" s="171">
        <f t="shared" si="1"/>
        <v>3035.6362558145111</v>
      </c>
      <c r="D79" s="173">
        <f t="shared" si="2"/>
        <v>162.98495833935365</v>
      </c>
      <c r="E79" s="173">
        <f t="shared" si="4"/>
        <v>12.142545023258045</v>
      </c>
      <c r="F79" s="173">
        <f t="shared" si="5"/>
        <v>175.12750336261169</v>
      </c>
      <c r="G79" s="173">
        <f t="shared" si="3"/>
        <v>2872.6512974751572</v>
      </c>
    </row>
    <row r="80" spans="1:7" x14ac:dyDescent="0.2">
      <c r="B80" s="168">
        <f t="shared" si="0"/>
        <v>8</v>
      </c>
      <c r="C80" s="171">
        <f t="shared" si="1"/>
        <v>2872.6512974751572</v>
      </c>
      <c r="D80" s="173">
        <f t="shared" si="2"/>
        <v>163.63689817271106</v>
      </c>
      <c r="E80" s="173">
        <f t="shared" si="4"/>
        <v>11.490605189900629</v>
      </c>
      <c r="F80" s="173">
        <f t="shared" si="5"/>
        <v>175.12750336261169</v>
      </c>
      <c r="G80" s="173">
        <f t="shared" si="3"/>
        <v>2709.0143993024462</v>
      </c>
    </row>
    <row r="81" spans="2:7" x14ac:dyDescent="0.2">
      <c r="B81" s="168">
        <f t="shared" si="0"/>
        <v>9</v>
      </c>
      <c r="C81" s="171">
        <f t="shared" si="1"/>
        <v>2709.0143993024462</v>
      </c>
      <c r="D81" s="173">
        <f t="shared" si="2"/>
        <v>164.2914457654019</v>
      </c>
      <c r="E81" s="173">
        <f t="shared" si="4"/>
        <v>10.836057597209786</v>
      </c>
      <c r="F81" s="173">
        <f t="shared" si="5"/>
        <v>175.12750336261169</v>
      </c>
      <c r="G81" s="173">
        <f t="shared" si="3"/>
        <v>2544.7229535370443</v>
      </c>
    </row>
    <row r="82" spans="2:7" x14ac:dyDescent="0.2">
      <c r="B82" s="168">
        <f t="shared" si="0"/>
        <v>10</v>
      </c>
      <c r="C82" s="171">
        <f t="shared" si="1"/>
        <v>2544.7229535370443</v>
      </c>
      <c r="D82" s="173">
        <f t="shared" si="2"/>
        <v>164.9486115484635</v>
      </c>
      <c r="E82" s="173">
        <f t="shared" si="4"/>
        <v>10.178891814148177</v>
      </c>
      <c r="F82" s="173">
        <f t="shared" si="5"/>
        <v>175.12750336261169</v>
      </c>
      <c r="G82" s="173">
        <f t="shared" si="3"/>
        <v>2379.774341988581</v>
      </c>
    </row>
    <row r="83" spans="2:7" x14ac:dyDescent="0.2">
      <c r="B83" s="168">
        <f t="shared" si="0"/>
        <v>11</v>
      </c>
      <c r="C83" s="171">
        <f t="shared" si="1"/>
        <v>2379.774341988581</v>
      </c>
      <c r="D83" s="173">
        <f t="shared" si="2"/>
        <v>165.60840599465737</v>
      </c>
      <c r="E83" s="173">
        <f t="shared" si="4"/>
        <v>9.5190973679543234</v>
      </c>
      <c r="F83" s="173">
        <f t="shared" si="5"/>
        <v>175.12750336261169</v>
      </c>
      <c r="G83" s="173">
        <f t="shared" si="3"/>
        <v>2214.1659359939235</v>
      </c>
    </row>
    <row r="84" spans="2:7" x14ac:dyDescent="0.2">
      <c r="B84" s="168">
        <f t="shared" si="0"/>
        <v>12</v>
      </c>
      <c r="C84" s="171">
        <f t="shared" si="1"/>
        <v>2214.1659359939235</v>
      </c>
      <c r="D84" s="173">
        <f t="shared" si="2"/>
        <v>166.27083961863599</v>
      </c>
      <c r="E84" s="173">
        <f t="shared" si="4"/>
        <v>8.8566637439756946</v>
      </c>
      <c r="F84" s="173">
        <f t="shared" si="5"/>
        <v>175.12750336261169</v>
      </c>
      <c r="G84" s="173">
        <f t="shared" si="3"/>
        <v>2047.8950963752875</v>
      </c>
    </row>
    <row r="85" spans="2:7" x14ac:dyDescent="0.2">
      <c r="B85" s="168">
        <f t="shared" si="0"/>
        <v>13</v>
      </c>
      <c r="C85" s="171">
        <f t="shared" si="1"/>
        <v>2047.8950963752875</v>
      </c>
      <c r="D85" s="173">
        <f t="shared" si="2"/>
        <v>166.93592297711055</v>
      </c>
      <c r="E85" s="173">
        <f t="shared" si="4"/>
        <v>8.1915803855011493</v>
      </c>
      <c r="F85" s="173">
        <f t="shared" si="5"/>
        <v>175.12750336261169</v>
      </c>
      <c r="G85" s="173">
        <f t="shared" si="3"/>
        <v>1880.959173398177</v>
      </c>
    </row>
    <row r="86" spans="2:7" x14ac:dyDescent="0.2">
      <c r="B86" s="168">
        <f t="shared" si="0"/>
        <v>14</v>
      </c>
      <c r="C86" s="171">
        <f t="shared" si="1"/>
        <v>1880.959173398177</v>
      </c>
      <c r="D86" s="173">
        <f t="shared" si="2"/>
        <v>167.60366666901899</v>
      </c>
      <c r="E86" s="173">
        <f t="shared" si="4"/>
        <v>7.5238366935927079</v>
      </c>
      <c r="F86" s="173">
        <f t="shared" si="5"/>
        <v>175.12750336261169</v>
      </c>
      <c r="G86" s="173">
        <f t="shared" si="3"/>
        <v>1713.3555067291579</v>
      </c>
    </row>
    <row r="87" spans="2:7" x14ac:dyDescent="0.2">
      <c r="B87" s="168">
        <f t="shared" si="0"/>
        <v>15</v>
      </c>
      <c r="C87" s="171">
        <f t="shared" si="1"/>
        <v>1713.3555067291579</v>
      </c>
      <c r="D87" s="173">
        <f t="shared" si="2"/>
        <v>168.27408133569506</v>
      </c>
      <c r="E87" s="173">
        <f t="shared" si="4"/>
        <v>6.8534220269166317</v>
      </c>
      <c r="F87" s="173">
        <f t="shared" si="5"/>
        <v>175.12750336261169</v>
      </c>
      <c r="G87" s="173">
        <f t="shared" si="3"/>
        <v>1545.081425393463</v>
      </c>
    </row>
    <row r="88" spans="2:7" x14ac:dyDescent="0.2">
      <c r="B88" s="168">
        <f t="shared" si="0"/>
        <v>16</v>
      </c>
      <c r="C88" s="171">
        <f t="shared" si="1"/>
        <v>1545.081425393463</v>
      </c>
      <c r="D88" s="173">
        <f t="shared" si="2"/>
        <v>168.94717766103784</v>
      </c>
      <c r="E88" s="173">
        <f t="shared" si="4"/>
        <v>6.1803257015738522</v>
      </c>
      <c r="F88" s="173">
        <f t="shared" si="5"/>
        <v>175.12750336261169</v>
      </c>
      <c r="G88" s="173">
        <f t="shared" si="3"/>
        <v>1376.1342477324251</v>
      </c>
    </row>
    <row r="89" spans="2:7" x14ac:dyDescent="0.2">
      <c r="B89" s="168">
        <f t="shared" ref="B89:B96" si="6">B88+1</f>
        <v>17</v>
      </c>
      <c r="C89" s="171">
        <f t="shared" si="1"/>
        <v>1376.1342477324251</v>
      </c>
      <c r="D89" s="173">
        <f t="shared" si="2"/>
        <v>169.622966371682</v>
      </c>
      <c r="E89" s="173">
        <f t="shared" si="4"/>
        <v>5.5045369909297008</v>
      </c>
      <c r="F89" s="173">
        <f t="shared" si="5"/>
        <v>175.12750336261169</v>
      </c>
      <c r="G89" s="173">
        <f t="shared" si="3"/>
        <v>1206.5112813607432</v>
      </c>
    </row>
    <row r="90" spans="2:7" x14ac:dyDescent="0.2">
      <c r="B90" s="168">
        <f t="shared" si="6"/>
        <v>18</v>
      </c>
      <c r="C90" s="171">
        <f t="shared" si="1"/>
        <v>1206.5112813607432</v>
      </c>
      <c r="D90" s="173">
        <f t="shared" si="2"/>
        <v>170.30145823716873</v>
      </c>
      <c r="E90" s="173">
        <f t="shared" si="4"/>
        <v>4.826045125442973</v>
      </c>
      <c r="F90" s="173">
        <f t="shared" si="5"/>
        <v>175.12750336261169</v>
      </c>
      <c r="G90" s="173">
        <f t="shared" si="3"/>
        <v>1036.2098231235746</v>
      </c>
    </row>
    <row r="91" spans="2:7" x14ac:dyDescent="0.2">
      <c r="B91" s="168">
        <f t="shared" si="6"/>
        <v>19</v>
      </c>
      <c r="C91" s="171">
        <f t="shared" si="1"/>
        <v>1036.2098231235746</v>
      </c>
      <c r="D91" s="173">
        <f t="shared" si="2"/>
        <v>170.98266407011738</v>
      </c>
      <c r="E91" s="173">
        <f t="shared" si="4"/>
        <v>4.1448392924942983</v>
      </c>
      <c r="F91" s="173">
        <f t="shared" si="5"/>
        <v>175.12750336261169</v>
      </c>
      <c r="G91" s="173">
        <f t="shared" si="3"/>
        <v>865.22715905345717</v>
      </c>
    </row>
    <row r="92" spans="2:7" x14ac:dyDescent="0.2">
      <c r="B92" s="168">
        <f t="shared" si="6"/>
        <v>20</v>
      </c>
      <c r="C92" s="171">
        <f t="shared" si="1"/>
        <v>865.22715905345717</v>
      </c>
      <c r="D92" s="173">
        <f t="shared" si="2"/>
        <v>171.66659472639788</v>
      </c>
      <c r="E92" s="173">
        <f t="shared" si="4"/>
        <v>3.4609086362138286</v>
      </c>
      <c r="F92" s="173">
        <f t="shared" si="5"/>
        <v>175.12750336261169</v>
      </c>
      <c r="G92" s="173">
        <f t="shared" si="3"/>
        <v>693.5605643270593</v>
      </c>
    </row>
    <row r="93" spans="2:7" x14ac:dyDescent="0.2">
      <c r="B93" s="168">
        <f t="shared" si="6"/>
        <v>21</v>
      </c>
      <c r="C93" s="171">
        <f t="shared" si="1"/>
        <v>693.5605643270593</v>
      </c>
      <c r="D93" s="173">
        <f t="shared" si="2"/>
        <v>172.35326110530346</v>
      </c>
      <c r="E93" s="173">
        <f t="shared" si="4"/>
        <v>2.774242257308237</v>
      </c>
      <c r="F93" s="173">
        <f t="shared" si="5"/>
        <v>175.12750336261169</v>
      </c>
      <c r="G93" s="173">
        <f t="shared" si="3"/>
        <v>521.20730322175586</v>
      </c>
    </row>
    <row r="94" spans="2:7" x14ac:dyDescent="0.2">
      <c r="B94" s="168">
        <f t="shared" si="6"/>
        <v>22</v>
      </c>
      <c r="C94" s="171">
        <f t="shared" si="1"/>
        <v>521.20730322175586</v>
      </c>
      <c r="D94" s="173">
        <f t="shared" si="2"/>
        <v>173.04267414972466</v>
      </c>
      <c r="E94" s="173">
        <f t="shared" si="4"/>
        <v>2.0848292128870236</v>
      </c>
      <c r="F94" s="173">
        <f t="shared" si="5"/>
        <v>175.12750336261169</v>
      </c>
      <c r="G94" s="173">
        <f t="shared" si="3"/>
        <v>348.16462907203118</v>
      </c>
    </row>
    <row r="95" spans="2:7" x14ac:dyDescent="0.2">
      <c r="B95" s="168">
        <f t="shared" si="6"/>
        <v>23</v>
      </c>
      <c r="C95" s="171">
        <f t="shared" si="1"/>
        <v>348.16462907203118</v>
      </c>
      <c r="D95" s="173">
        <f t="shared" si="2"/>
        <v>173.73484484632357</v>
      </c>
      <c r="E95" s="173">
        <f t="shared" si="4"/>
        <v>1.3926585162881246</v>
      </c>
      <c r="F95" s="173">
        <f t="shared" si="5"/>
        <v>175.12750336261169</v>
      </c>
      <c r="G95" s="173">
        <f t="shared" si="3"/>
        <v>174.42978422570761</v>
      </c>
    </row>
    <row r="96" spans="2:7" x14ac:dyDescent="0.2">
      <c r="B96" s="168">
        <f t="shared" si="6"/>
        <v>24</v>
      </c>
      <c r="C96" s="171">
        <f t="shared" si="1"/>
        <v>174.42978422570761</v>
      </c>
      <c r="D96" s="173">
        <f t="shared" si="2"/>
        <v>174.42978422570886</v>
      </c>
      <c r="E96" s="173">
        <f t="shared" si="4"/>
        <v>0.69771913690283049</v>
      </c>
      <c r="F96" s="173">
        <f t="shared" si="5"/>
        <v>175.12750336261169</v>
      </c>
      <c r="G96" s="173">
        <f t="shared" si="3"/>
        <v>-1.2505552149377763E-12</v>
      </c>
    </row>
    <row r="98" spans="1:8" x14ac:dyDescent="0.2">
      <c r="E98" s="109"/>
    </row>
    <row r="99" spans="1:8" x14ac:dyDescent="0.2">
      <c r="A99" s="167" t="s">
        <v>2758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1471</v>
      </c>
    </row>
    <row r="101" spans="1:8" x14ac:dyDescent="0.2">
      <c r="A101" s="92" t="s">
        <v>1472</v>
      </c>
    </row>
    <row r="102" spans="1:8" x14ac:dyDescent="0.2">
      <c r="A102" s="92" t="s">
        <v>1473</v>
      </c>
    </row>
    <row r="103" spans="1:8" x14ac:dyDescent="0.2">
      <c r="A103" s="92" t="s">
        <v>321</v>
      </c>
    </row>
    <row r="104" spans="1:8" x14ac:dyDescent="0.2">
      <c r="A104" s="92" t="s">
        <v>1474</v>
      </c>
      <c r="E104" s="92" t="s">
        <v>1475</v>
      </c>
    </row>
    <row r="105" spans="1:8" x14ac:dyDescent="0.2">
      <c r="A105" s="92" t="s">
        <v>1476</v>
      </c>
      <c r="E105" s="92" t="s">
        <v>2759</v>
      </c>
    </row>
    <row r="106" spans="1:8" x14ac:dyDescent="0.2">
      <c r="A106" s="92" t="s">
        <v>1477</v>
      </c>
      <c r="E106" s="92" t="s">
        <v>2760</v>
      </c>
    </row>
    <row r="107" spans="1:8" x14ac:dyDescent="0.2">
      <c r="A107" s="92" t="s">
        <v>1478</v>
      </c>
      <c r="E107" s="92" t="s">
        <v>1479</v>
      </c>
    </row>
    <row r="109" spans="1:8" x14ac:dyDescent="0.2">
      <c r="A109" s="93" t="s">
        <v>1480</v>
      </c>
    </row>
    <row r="110" spans="1:8" x14ac:dyDescent="0.2">
      <c r="A110" s="92" t="s">
        <v>1481</v>
      </c>
      <c r="E110" s="466">
        <v>8.0000000000000002E-3</v>
      </c>
      <c r="F110" s="92" t="s">
        <v>87</v>
      </c>
    </row>
    <row r="111" spans="1:8" x14ac:dyDescent="0.2">
      <c r="A111" s="92" t="s">
        <v>3300</v>
      </c>
      <c r="E111" s="462">
        <f>10*12</f>
        <v>120</v>
      </c>
      <c r="F111" s="92" t="s">
        <v>89</v>
      </c>
    </row>
    <row r="112" spans="1:8" x14ac:dyDescent="0.2">
      <c r="A112" s="92" t="s">
        <v>1482</v>
      </c>
      <c r="E112" s="581">
        <f>PMT(E110,E111,E113,E114)</f>
        <v>-97.459268774618423</v>
      </c>
      <c r="F112" s="92" t="s">
        <v>91</v>
      </c>
    </row>
    <row r="113" spans="1:7" x14ac:dyDescent="0.2">
      <c r="A113" s="92" t="s">
        <v>2886</v>
      </c>
      <c r="E113" s="462">
        <v>7500</v>
      </c>
      <c r="F113" s="92" t="s">
        <v>281</v>
      </c>
    </row>
    <row r="114" spans="1:7" x14ac:dyDescent="0.2">
      <c r="A114" s="92" t="s">
        <v>1483</v>
      </c>
      <c r="E114" s="462">
        <v>0</v>
      </c>
      <c r="F114" s="92" t="s">
        <v>105</v>
      </c>
    </row>
    <row r="116" spans="1:7" x14ac:dyDescent="0.2">
      <c r="A116" s="93" t="s">
        <v>3301</v>
      </c>
    </row>
    <row r="117" spans="1:7" ht="17" thickBot="1" x14ac:dyDescent="0.25">
      <c r="A117" s="306" t="s">
        <v>1484</v>
      </c>
      <c r="B117" s="306"/>
      <c r="C117" s="306"/>
      <c r="D117" s="306"/>
      <c r="E117" s="466">
        <f>E110</f>
        <v>8.0000000000000002E-3</v>
      </c>
      <c r="F117" s="92" t="s">
        <v>87</v>
      </c>
    </row>
    <row r="118" spans="1:7" ht="17" thickBot="1" x14ac:dyDescent="0.25">
      <c r="A118" s="306" t="s">
        <v>1487</v>
      </c>
      <c r="B118" s="306"/>
      <c r="C118" s="306"/>
      <c r="D118" s="306"/>
      <c r="E118" s="626">
        <v>28</v>
      </c>
      <c r="F118" s="125" t="s">
        <v>1488</v>
      </c>
      <c r="G118" s="625" t="s">
        <v>1489</v>
      </c>
    </row>
    <row r="119" spans="1:7" x14ac:dyDescent="0.2">
      <c r="A119" s="306" t="s">
        <v>1485</v>
      </c>
      <c r="B119" s="306"/>
      <c r="C119" s="306"/>
      <c r="D119" s="306"/>
      <c r="E119" s="462">
        <f>E111</f>
        <v>120</v>
      </c>
      <c r="F119" s="92" t="s">
        <v>89</v>
      </c>
    </row>
    <row r="120" spans="1:7" x14ac:dyDescent="0.2">
      <c r="A120" s="306" t="s">
        <v>1486</v>
      </c>
      <c r="B120" s="306"/>
      <c r="C120" s="306"/>
      <c r="D120" s="306"/>
      <c r="E120" s="462">
        <f>E113</f>
        <v>7500</v>
      </c>
      <c r="F120" s="92" t="s">
        <v>281</v>
      </c>
    </row>
    <row r="121" spans="1:7" x14ac:dyDescent="0.2">
      <c r="A121" s="306" t="s">
        <v>1483</v>
      </c>
      <c r="B121" s="306"/>
      <c r="C121" s="306"/>
      <c r="D121" s="306"/>
      <c r="E121" s="462">
        <f>E114</f>
        <v>0</v>
      </c>
      <c r="F121" s="92" t="s">
        <v>105</v>
      </c>
    </row>
    <row r="122" spans="1:7" x14ac:dyDescent="0.2">
      <c r="A122" s="306"/>
      <c r="B122" s="306"/>
      <c r="C122" s="306" t="str">
        <f ca="1">_xlfn.FORMULATEXT(E122)</f>
        <v>=PPMT(E117,E118,E119,E120,E121)</v>
      </c>
      <c r="D122" s="306"/>
      <c r="E122" s="581">
        <f>PPMT(E117,E118,E119,E120,E121)</f>
        <v>-46.450849667842007</v>
      </c>
      <c r="F122" s="92" t="s">
        <v>1490</v>
      </c>
      <c r="G122" s="92" t="s">
        <v>3303</v>
      </c>
    </row>
    <row r="124" spans="1:7" x14ac:dyDescent="0.2">
      <c r="A124" s="92" t="s">
        <v>3302</v>
      </c>
    </row>
    <row r="126" spans="1:7" x14ac:dyDescent="0.2">
      <c r="A126" s="93" t="s">
        <v>3304</v>
      </c>
    </row>
    <row r="127" spans="1:7" ht="17" thickBot="1" x14ac:dyDescent="0.25">
      <c r="A127" s="92" t="s">
        <v>1484</v>
      </c>
      <c r="E127" s="122">
        <v>8.0000000000000002E-3</v>
      </c>
      <c r="F127" s="92" t="s">
        <v>87</v>
      </c>
    </row>
    <row r="128" spans="1:7" ht="17" thickBot="1" x14ac:dyDescent="0.25">
      <c r="A128" s="92" t="s">
        <v>1487</v>
      </c>
      <c r="E128" s="626">
        <v>94</v>
      </c>
      <c r="F128" s="627" t="s">
        <v>1488</v>
      </c>
      <c r="G128" s="628" t="s">
        <v>1489</v>
      </c>
    </row>
    <row r="129" spans="1:7" x14ac:dyDescent="0.2">
      <c r="A129" s="92" t="s">
        <v>1485</v>
      </c>
      <c r="E129" s="105">
        <f>10*12</f>
        <v>120</v>
      </c>
      <c r="F129" s="92" t="s">
        <v>89</v>
      </c>
    </row>
    <row r="130" spans="1:7" x14ac:dyDescent="0.2">
      <c r="A130" s="92" t="s">
        <v>1486</v>
      </c>
      <c r="E130" s="105">
        <v>7500</v>
      </c>
      <c r="F130" s="92" t="s">
        <v>281</v>
      </c>
    </row>
    <row r="131" spans="1:7" x14ac:dyDescent="0.2">
      <c r="A131" s="92" t="s">
        <v>1483</v>
      </c>
      <c r="E131" s="105">
        <v>0</v>
      </c>
      <c r="F131" s="92" t="s">
        <v>105</v>
      </c>
    </row>
    <row r="132" spans="1:7" x14ac:dyDescent="0.2">
      <c r="A132" s="92" t="s">
        <v>3305</v>
      </c>
      <c r="E132" s="106">
        <f>IPMT(E127,E128,E129,E130,E131)</f>
        <v>-18.865379325624556</v>
      </c>
      <c r="F132" s="92" t="s">
        <v>1491</v>
      </c>
    </row>
    <row r="134" spans="1:7" x14ac:dyDescent="0.2">
      <c r="A134" s="92" t="s">
        <v>2761</v>
      </c>
    </row>
    <row r="136" spans="1:7" x14ac:dyDescent="0.2">
      <c r="A136" s="93" t="s">
        <v>1492</v>
      </c>
    </row>
    <row r="137" spans="1:7" x14ac:dyDescent="0.2">
      <c r="A137" s="629" t="s">
        <v>3306</v>
      </c>
      <c r="B137" s="629"/>
      <c r="C137" s="629"/>
      <c r="D137" s="629"/>
      <c r="E137" s="629"/>
      <c r="F137" s="629"/>
      <c r="G137" s="629"/>
    </row>
    <row r="138" spans="1:7" x14ac:dyDescent="0.2">
      <c r="A138" s="92" t="s">
        <v>1493</v>
      </c>
    </row>
    <row r="139" spans="1:7" x14ac:dyDescent="0.2">
      <c r="A139" s="92" t="s">
        <v>1494</v>
      </c>
      <c r="D139" s="105">
        <v>87</v>
      </c>
      <c r="E139" s="92" t="s">
        <v>1495</v>
      </c>
    </row>
    <row r="141" spans="1:7" x14ac:dyDescent="0.2">
      <c r="A141" s="93" t="s">
        <v>1496</v>
      </c>
    </row>
    <row r="143" spans="1:7" x14ac:dyDescent="0.2">
      <c r="A143" s="630" t="s">
        <v>1497</v>
      </c>
      <c r="B143" s="630"/>
      <c r="C143" s="630"/>
      <c r="D143" s="630"/>
    </row>
    <row r="144" spans="1:7" x14ac:dyDescent="0.2">
      <c r="A144" s="92" t="s">
        <v>2762</v>
      </c>
      <c r="E144" s="122">
        <v>8.0000000000000002E-3</v>
      </c>
      <c r="F144" s="92" t="s">
        <v>87</v>
      </c>
    </row>
    <row r="145" spans="1:7" x14ac:dyDescent="0.2">
      <c r="A145" s="92" t="s">
        <v>2763</v>
      </c>
      <c r="E145" s="105">
        <v>120</v>
      </c>
      <c r="F145" s="92" t="s">
        <v>89</v>
      </c>
    </row>
    <row r="146" spans="1:7" x14ac:dyDescent="0.2">
      <c r="A146" s="92" t="s">
        <v>2764</v>
      </c>
      <c r="E146" s="105">
        <v>7500</v>
      </c>
      <c r="F146" s="92" t="s">
        <v>281</v>
      </c>
    </row>
    <row r="147" spans="1:7" x14ac:dyDescent="0.2">
      <c r="A147" s="92" t="s">
        <v>2766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2765</v>
      </c>
      <c r="E148" s="105">
        <v>0</v>
      </c>
      <c r="F148" s="92" t="s">
        <v>105</v>
      </c>
    </row>
    <row r="150" spans="1:7" x14ac:dyDescent="0.2">
      <c r="A150" s="630" t="s">
        <v>1498</v>
      </c>
    </row>
    <row r="151" spans="1:7" x14ac:dyDescent="0.2">
      <c r="A151" s="306" t="s">
        <v>3307</v>
      </c>
      <c r="B151" s="306"/>
      <c r="C151" s="306"/>
      <c r="D151" s="306"/>
      <c r="E151" s="674"/>
      <c r="F151" s="306"/>
      <c r="G151" s="306"/>
    </row>
    <row r="152" spans="1:7" x14ac:dyDescent="0.2">
      <c r="A152" s="306" t="s">
        <v>3308</v>
      </c>
      <c r="B152" s="306"/>
      <c r="C152" s="306"/>
      <c r="D152" s="306"/>
      <c r="E152" s="462"/>
      <c r="F152" s="306"/>
      <c r="G152" s="306"/>
    </row>
    <row r="153" spans="1:7" x14ac:dyDescent="0.2">
      <c r="A153" s="306"/>
      <c r="B153" s="306"/>
      <c r="C153" s="306"/>
      <c r="D153" s="306"/>
      <c r="E153" s="462"/>
      <c r="F153" s="306"/>
      <c r="G153" s="306"/>
    </row>
    <row r="154" spans="1:7" x14ac:dyDescent="0.2">
      <c r="A154" s="306" t="s">
        <v>3309</v>
      </c>
      <c r="B154" s="306"/>
      <c r="C154" s="306"/>
      <c r="D154" s="306"/>
      <c r="E154" s="674">
        <f>E144</f>
        <v>8.0000000000000002E-3</v>
      </c>
      <c r="F154" s="306" t="s">
        <v>87</v>
      </c>
      <c r="G154" s="306"/>
    </row>
    <row r="155" spans="1:7" x14ac:dyDescent="0.2">
      <c r="A155" s="306" t="s">
        <v>3310</v>
      </c>
      <c r="B155" s="306"/>
      <c r="C155" s="306"/>
      <c r="D155" s="306"/>
      <c r="E155" s="462">
        <f>120-33</f>
        <v>87</v>
      </c>
      <c r="F155" s="117" t="s">
        <v>89</v>
      </c>
      <c r="G155" s="306"/>
    </row>
    <row r="156" spans="1:7" x14ac:dyDescent="0.2">
      <c r="A156" s="306" t="s">
        <v>3311</v>
      </c>
      <c r="B156" s="306"/>
      <c r="C156" s="306"/>
      <c r="D156" s="306"/>
      <c r="E156" s="673">
        <f>E147</f>
        <v>-97.459268774618423</v>
      </c>
      <c r="F156" s="306" t="s">
        <v>91</v>
      </c>
      <c r="G156" s="306"/>
    </row>
    <row r="157" spans="1:7" x14ac:dyDescent="0.2">
      <c r="A157" s="306" t="s">
        <v>3312</v>
      </c>
      <c r="B157" s="306"/>
      <c r="C157" s="306"/>
      <c r="D157" s="306"/>
      <c r="E157" s="690">
        <f>PV(E154,E155,E156,E158)</f>
        <v>6091.7133734066838</v>
      </c>
      <c r="F157" s="306" t="s">
        <v>281</v>
      </c>
      <c r="G157" s="306"/>
    </row>
    <row r="158" spans="1:7" x14ac:dyDescent="0.2">
      <c r="A158" s="306"/>
      <c r="B158" s="306"/>
      <c r="C158" s="306"/>
      <c r="D158" s="306"/>
      <c r="E158" s="462">
        <v>0</v>
      </c>
      <c r="F158" s="306" t="s">
        <v>105</v>
      </c>
      <c r="G158" s="306"/>
    </row>
    <row r="159" spans="1:7" x14ac:dyDescent="0.2">
      <c r="E159" s="105"/>
    </row>
    <row r="160" spans="1:7" x14ac:dyDescent="0.2">
      <c r="A160" s="93" t="s">
        <v>2767</v>
      </c>
      <c r="E160" s="105"/>
    </row>
    <row r="161" spans="1:8" x14ac:dyDescent="0.2">
      <c r="E161" s="105"/>
    </row>
    <row r="162" spans="1:8" x14ac:dyDescent="0.2">
      <c r="A162" s="92" t="s">
        <v>1499</v>
      </c>
      <c r="E162" s="105"/>
    </row>
    <row r="163" spans="1:8" x14ac:dyDescent="0.2">
      <c r="A163" s="92" t="s">
        <v>1500</v>
      </c>
      <c r="E163" s="105"/>
    </row>
    <row r="164" spans="1:8" x14ac:dyDescent="0.2">
      <c r="A164" s="92" t="s">
        <v>1501</v>
      </c>
      <c r="E164" s="105"/>
    </row>
    <row r="165" spans="1:8" ht="17" thickBot="1" x14ac:dyDescent="0.25">
      <c r="E165" s="105"/>
    </row>
    <row r="166" spans="1:8" x14ac:dyDescent="0.2">
      <c r="A166" s="95" t="s">
        <v>2768</v>
      </c>
      <c r="B166" s="96"/>
      <c r="C166" s="96"/>
      <c r="D166" s="96"/>
      <c r="E166" s="476"/>
      <c r="F166" s="96"/>
      <c r="G166" s="96"/>
      <c r="H166" s="97"/>
    </row>
    <row r="167" spans="1:8" x14ac:dyDescent="0.2">
      <c r="A167" s="98"/>
      <c r="E167" s="105"/>
      <c r="H167" s="99"/>
    </row>
    <row r="168" spans="1:8" x14ac:dyDescent="0.2">
      <c r="A168" s="98"/>
      <c r="B168" s="111" t="s">
        <v>2769</v>
      </c>
      <c r="C168" s="111"/>
      <c r="D168" s="110" t="s">
        <v>2770</v>
      </c>
      <c r="E168" s="105"/>
      <c r="H168" s="99"/>
    </row>
    <row r="169" spans="1:8" x14ac:dyDescent="0.2">
      <c r="A169" s="98"/>
      <c r="B169" s="43" t="s">
        <v>2771</v>
      </c>
      <c r="D169" s="105" t="s">
        <v>1469</v>
      </c>
      <c r="E169" s="105"/>
      <c r="H169" s="99"/>
    </row>
    <row r="170" spans="1:8" x14ac:dyDescent="0.2">
      <c r="A170" s="98"/>
      <c r="B170" s="43" t="s">
        <v>2772</v>
      </c>
      <c r="D170" s="105" t="s">
        <v>2773</v>
      </c>
      <c r="E170" s="105"/>
      <c r="H170" s="99"/>
    </row>
    <row r="171" spans="1:8" x14ac:dyDescent="0.2">
      <c r="A171" s="98"/>
      <c r="B171" s="43" t="s">
        <v>2774</v>
      </c>
      <c r="D171" s="105" t="s">
        <v>2775</v>
      </c>
      <c r="E171" s="105"/>
      <c r="H171" s="99"/>
    </row>
    <row r="172" spans="1:8" ht="17" thickBot="1" x14ac:dyDescent="0.25">
      <c r="A172" s="100"/>
      <c r="B172" s="218" t="s">
        <v>2776</v>
      </c>
      <c r="C172" s="101"/>
      <c r="D172" s="477" t="s">
        <v>34</v>
      </c>
      <c r="E172" s="632" t="s">
        <v>2777</v>
      </c>
      <c r="F172" s="101"/>
      <c r="G172" s="101"/>
      <c r="H172" s="102"/>
    </row>
    <row r="173" spans="1:8" ht="17" thickBot="1" x14ac:dyDescent="0.25">
      <c r="E173" s="105"/>
    </row>
    <row r="174" spans="1:8" ht="17" thickBot="1" x14ac:dyDescent="0.25">
      <c r="A174" s="124" t="s">
        <v>2781</v>
      </c>
      <c r="B174" s="125"/>
      <c r="C174" s="125"/>
      <c r="D174" s="125"/>
      <c r="E174" s="638"/>
      <c r="F174" s="125"/>
      <c r="G174" s="125"/>
      <c r="H174" s="126"/>
    </row>
    <row r="175" spans="1:8" ht="17" thickBot="1" x14ac:dyDescent="0.25">
      <c r="E175" s="105"/>
    </row>
    <row r="176" spans="1:8" ht="17" thickBot="1" x14ac:dyDescent="0.25">
      <c r="A176" s="124" t="s">
        <v>2782</v>
      </c>
      <c r="B176" s="639"/>
      <c r="C176" s="639"/>
      <c r="D176" s="639"/>
      <c r="E176" s="640"/>
      <c r="F176" s="639"/>
      <c r="G176" s="639"/>
      <c r="H176" s="641"/>
    </row>
    <row r="177" spans="1:8" x14ac:dyDescent="0.2">
      <c r="E177" s="105"/>
    </row>
    <row r="178" spans="1:8" x14ac:dyDescent="0.2">
      <c r="E178" s="105"/>
    </row>
    <row r="179" spans="1:8" x14ac:dyDescent="0.2">
      <c r="E179" s="105"/>
    </row>
    <row r="180" spans="1:8" x14ac:dyDescent="0.2">
      <c r="A180" s="167" t="s">
        <v>2778</v>
      </c>
      <c r="B180" s="167"/>
      <c r="C180" s="167"/>
      <c r="D180" s="167"/>
      <c r="E180" s="167"/>
      <c r="F180" s="167"/>
      <c r="G180" s="167"/>
      <c r="H180" s="167"/>
    </row>
    <row r="181" spans="1:8" x14ac:dyDescent="0.2">
      <c r="A181" s="92" t="s">
        <v>1502</v>
      </c>
    </row>
    <row r="182" spans="1:8" x14ac:dyDescent="0.2">
      <c r="A182" s="92" t="s">
        <v>2779</v>
      </c>
    </row>
    <row r="183" spans="1:8" x14ac:dyDescent="0.2">
      <c r="A183" s="92" t="s">
        <v>1503</v>
      </c>
    </row>
    <row r="184" spans="1:8" x14ac:dyDescent="0.2">
      <c r="A184" s="92" t="s">
        <v>1504</v>
      </c>
    </row>
    <row r="186" spans="1:8" x14ac:dyDescent="0.2">
      <c r="D186" s="590" t="s">
        <v>2096</v>
      </c>
      <c r="E186" s="590" t="s">
        <v>2118</v>
      </c>
      <c r="F186" s="590" t="s">
        <v>2118</v>
      </c>
      <c r="G186" s="590" t="s">
        <v>775</v>
      </c>
    </row>
    <row r="187" spans="1:8" x14ac:dyDescent="0.2">
      <c r="D187" s="590" t="s">
        <v>2322</v>
      </c>
      <c r="E187" s="590" t="s">
        <v>3319</v>
      </c>
      <c r="F187" s="590" t="s">
        <v>3323</v>
      </c>
      <c r="G187" s="590" t="s">
        <v>3319</v>
      </c>
    </row>
    <row r="188" spans="1:8" x14ac:dyDescent="0.2">
      <c r="D188" s="590" t="s">
        <v>3313</v>
      </c>
      <c r="E188" s="590" t="s">
        <v>3321</v>
      </c>
      <c r="F188" s="590" t="s">
        <v>3324</v>
      </c>
      <c r="G188" s="590" t="s">
        <v>3320</v>
      </c>
    </row>
    <row r="189" spans="1:8" x14ac:dyDescent="0.2">
      <c r="D189" s="633" t="s">
        <v>1467</v>
      </c>
      <c r="E189" s="516" t="s">
        <v>1506</v>
      </c>
      <c r="F189" s="636" t="s">
        <v>1507</v>
      </c>
      <c r="G189" s="172" t="s">
        <v>1470</v>
      </c>
    </row>
    <row r="190" spans="1:8" x14ac:dyDescent="0.2">
      <c r="B190" s="169" t="s">
        <v>1448</v>
      </c>
      <c r="C190" s="169" t="s">
        <v>1449</v>
      </c>
      <c r="D190" s="634" t="s">
        <v>1450</v>
      </c>
      <c r="E190" s="635" t="s">
        <v>1451</v>
      </c>
      <c r="F190" s="637" t="s">
        <v>1452</v>
      </c>
      <c r="G190" s="169" t="s">
        <v>1453</v>
      </c>
    </row>
    <row r="191" spans="1:8" x14ac:dyDescent="0.2">
      <c r="B191" s="92">
        <v>0</v>
      </c>
      <c r="C191" s="691"/>
      <c r="D191" s="691"/>
      <c r="E191" s="691"/>
      <c r="F191" s="691"/>
      <c r="G191" s="105" t="s">
        <v>1636</v>
      </c>
    </row>
    <row r="192" spans="1:8" x14ac:dyDescent="0.2">
      <c r="D192" s="105" t="s">
        <v>3314</v>
      </c>
      <c r="E192" s="590" t="s">
        <v>3322</v>
      </c>
      <c r="G192" s="105" t="s">
        <v>3315</v>
      </c>
    </row>
    <row r="193" spans="1:9" x14ac:dyDescent="0.2">
      <c r="D193" s="105" t="str">
        <f>D192</f>
        <v>LOAN/n</v>
      </c>
      <c r="G193" s="105" t="s">
        <v>3316</v>
      </c>
    </row>
    <row r="194" spans="1:9" x14ac:dyDescent="0.2">
      <c r="D194" s="105" t="str">
        <f>D193</f>
        <v>LOAN/n</v>
      </c>
      <c r="G194" s="105" t="s">
        <v>3317</v>
      </c>
    </row>
    <row r="195" spans="1:9" x14ac:dyDescent="0.2">
      <c r="D195" s="105" t="str">
        <f>D194</f>
        <v>LOAN/n</v>
      </c>
      <c r="G195" s="105" t="s">
        <v>3318</v>
      </c>
    </row>
    <row r="197" spans="1:9" x14ac:dyDescent="0.2">
      <c r="A197" s="92" t="s">
        <v>3325</v>
      </c>
    </row>
    <row r="199" spans="1:9" x14ac:dyDescent="0.2">
      <c r="B199" s="692" t="s">
        <v>1448</v>
      </c>
      <c r="C199" s="692" t="s">
        <v>1449</v>
      </c>
      <c r="D199" s="693" t="s">
        <v>1450</v>
      </c>
      <c r="E199" s="187" t="s">
        <v>1451</v>
      </c>
      <c r="F199" s="694" t="s">
        <v>1452</v>
      </c>
      <c r="G199" s="692" t="s">
        <v>1453</v>
      </c>
    </row>
    <row r="200" spans="1:9" x14ac:dyDescent="0.2">
      <c r="B200" s="105">
        <v>0</v>
      </c>
      <c r="C200" s="695"/>
      <c r="D200" s="695"/>
      <c r="E200" s="695"/>
      <c r="F200" s="695"/>
      <c r="G200" s="105">
        <v>189</v>
      </c>
    </row>
    <row r="201" spans="1:9" x14ac:dyDescent="0.2">
      <c r="B201" s="105">
        <f>B200+1</f>
        <v>1</v>
      </c>
      <c r="C201" s="105">
        <f>G200</f>
        <v>189</v>
      </c>
      <c r="D201" s="105">
        <f>G200/12</f>
        <v>15.75</v>
      </c>
      <c r="E201" s="105">
        <f>C201*H$203</f>
        <v>1.26</v>
      </c>
      <c r="F201" s="105">
        <f>D201+E201</f>
        <v>17.010000000000002</v>
      </c>
      <c r="G201" s="105">
        <f>C201-D201</f>
        <v>173.25</v>
      </c>
    </row>
    <row r="202" spans="1:9" x14ac:dyDescent="0.2">
      <c r="B202" s="105">
        <f t="shared" ref="B202:B211" si="7">B201+1</f>
        <v>2</v>
      </c>
      <c r="C202" s="105">
        <f t="shared" ref="C202:C212" si="8">G201</f>
        <v>173.25</v>
      </c>
      <c r="D202" s="105">
        <f>D201</f>
        <v>15.75</v>
      </c>
      <c r="E202" s="105">
        <f t="shared" ref="E202:E212" si="9">C202*H$203</f>
        <v>1.155</v>
      </c>
      <c r="F202" s="105">
        <f t="shared" ref="F202:F212" si="10">D202+E202</f>
        <v>16.905000000000001</v>
      </c>
      <c r="G202" s="105">
        <f>C202-D202</f>
        <v>157.5</v>
      </c>
    </row>
    <row r="203" spans="1:9" x14ac:dyDescent="0.2">
      <c r="B203" s="105">
        <f t="shared" si="7"/>
        <v>3</v>
      </c>
      <c r="C203" s="105">
        <f t="shared" si="8"/>
        <v>157.5</v>
      </c>
      <c r="D203" s="105">
        <f t="shared" ref="D203:D212" si="11">D202</f>
        <v>15.75</v>
      </c>
      <c r="E203" s="105">
        <f t="shared" si="9"/>
        <v>1.05</v>
      </c>
      <c r="F203" s="105">
        <f t="shared" si="10"/>
        <v>16.8</v>
      </c>
      <c r="G203" s="105">
        <f t="shared" ref="G203:G212" si="12">C203-D203</f>
        <v>141.75</v>
      </c>
      <c r="H203" s="696">
        <f>8%/12</f>
        <v>6.6666666666666671E-3</v>
      </c>
    </row>
    <row r="204" spans="1:9" x14ac:dyDescent="0.2">
      <c r="B204" s="105">
        <f t="shared" si="7"/>
        <v>4</v>
      </c>
      <c r="C204" s="105">
        <f t="shared" si="8"/>
        <v>141.75</v>
      </c>
      <c r="D204" s="105">
        <f t="shared" si="11"/>
        <v>15.75</v>
      </c>
      <c r="E204" s="105">
        <f t="shared" si="9"/>
        <v>0.94500000000000006</v>
      </c>
      <c r="F204" s="105">
        <f t="shared" si="10"/>
        <v>16.695</v>
      </c>
      <c r="G204" s="105">
        <f t="shared" si="12"/>
        <v>126</v>
      </c>
    </row>
    <row r="205" spans="1:9" x14ac:dyDescent="0.2">
      <c r="B205" s="105">
        <f t="shared" si="7"/>
        <v>5</v>
      </c>
      <c r="C205" s="105">
        <f t="shared" si="8"/>
        <v>126</v>
      </c>
      <c r="D205" s="105">
        <f t="shared" si="11"/>
        <v>15.75</v>
      </c>
      <c r="E205" s="105">
        <f t="shared" si="9"/>
        <v>0.84000000000000008</v>
      </c>
      <c r="F205" s="105">
        <f t="shared" si="10"/>
        <v>16.59</v>
      </c>
      <c r="G205" s="105">
        <f t="shared" si="12"/>
        <v>110.25</v>
      </c>
      <c r="I205" s="92" t="s">
        <v>3326</v>
      </c>
    </row>
    <row r="206" spans="1:9" x14ac:dyDescent="0.2">
      <c r="B206" s="105">
        <f t="shared" si="7"/>
        <v>6</v>
      </c>
      <c r="C206" s="105">
        <f t="shared" si="8"/>
        <v>110.25</v>
      </c>
      <c r="D206" s="105">
        <f t="shared" si="11"/>
        <v>15.75</v>
      </c>
      <c r="E206" s="105">
        <f t="shared" si="9"/>
        <v>0.7350000000000001</v>
      </c>
      <c r="F206" s="105">
        <f t="shared" si="10"/>
        <v>16.484999999999999</v>
      </c>
      <c r="G206" s="105">
        <f t="shared" si="12"/>
        <v>94.5</v>
      </c>
      <c r="I206" s="92" t="s">
        <v>3327</v>
      </c>
    </row>
    <row r="207" spans="1:9" x14ac:dyDescent="0.2">
      <c r="B207" s="105">
        <f t="shared" si="7"/>
        <v>7</v>
      </c>
      <c r="C207" s="105">
        <f t="shared" si="8"/>
        <v>94.5</v>
      </c>
      <c r="D207" s="105">
        <f t="shared" si="11"/>
        <v>15.75</v>
      </c>
      <c r="E207" s="105">
        <f t="shared" si="9"/>
        <v>0.63</v>
      </c>
      <c r="F207" s="105">
        <f t="shared" si="10"/>
        <v>16.38</v>
      </c>
      <c r="G207" s="105">
        <f t="shared" si="12"/>
        <v>78.75</v>
      </c>
      <c r="I207" s="92" t="s">
        <v>3328</v>
      </c>
    </row>
    <row r="208" spans="1:9" x14ac:dyDescent="0.2">
      <c r="B208" s="105">
        <f t="shared" si="7"/>
        <v>8</v>
      </c>
      <c r="C208" s="105">
        <f t="shared" si="8"/>
        <v>78.75</v>
      </c>
      <c r="D208" s="105">
        <f t="shared" si="11"/>
        <v>15.75</v>
      </c>
      <c r="E208" s="105">
        <f t="shared" si="9"/>
        <v>0.52500000000000002</v>
      </c>
      <c r="F208" s="105">
        <f t="shared" si="10"/>
        <v>16.274999999999999</v>
      </c>
      <c r="G208" s="105">
        <f t="shared" si="12"/>
        <v>63</v>
      </c>
    </row>
    <row r="209" spans="1:9" x14ac:dyDescent="0.2">
      <c r="B209" s="105">
        <f t="shared" si="7"/>
        <v>9</v>
      </c>
      <c r="C209" s="105">
        <f t="shared" si="8"/>
        <v>63</v>
      </c>
      <c r="D209" s="105">
        <f t="shared" si="11"/>
        <v>15.75</v>
      </c>
      <c r="E209" s="105">
        <f t="shared" si="9"/>
        <v>0.42000000000000004</v>
      </c>
      <c r="F209" s="105">
        <f t="shared" si="10"/>
        <v>16.170000000000002</v>
      </c>
      <c r="G209" s="105">
        <f t="shared" si="12"/>
        <v>47.25</v>
      </c>
      <c r="I209" s="92" t="s">
        <v>3329</v>
      </c>
    </row>
    <row r="210" spans="1:9" x14ac:dyDescent="0.2">
      <c r="B210" s="105">
        <f t="shared" si="7"/>
        <v>10</v>
      </c>
      <c r="C210" s="105">
        <f t="shared" si="8"/>
        <v>47.25</v>
      </c>
      <c r="D210" s="105">
        <f t="shared" si="11"/>
        <v>15.75</v>
      </c>
      <c r="E210" s="105">
        <f t="shared" si="9"/>
        <v>0.315</v>
      </c>
      <c r="F210" s="105">
        <f t="shared" si="10"/>
        <v>16.065000000000001</v>
      </c>
      <c r="G210" s="105">
        <f t="shared" si="12"/>
        <v>31.5</v>
      </c>
      <c r="I210" s="92" t="s">
        <v>3330</v>
      </c>
    </row>
    <row r="211" spans="1:9" x14ac:dyDescent="0.2">
      <c r="B211" s="105">
        <f t="shared" si="7"/>
        <v>11</v>
      </c>
      <c r="C211" s="105">
        <f t="shared" si="8"/>
        <v>31.5</v>
      </c>
      <c r="D211" s="105">
        <f t="shared" si="11"/>
        <v>15.75</v>
      </c>
      <c r="E211" s="105">
        <f t="shared" si="9"/>
        <v>0.21000000000000002</v>
      </c>
      <c r="F211" s="105">
        <f t="shared" si="10"/>
        <v>15.96</v>
      </c>
      <c r="G211" s="105">
        <f t="shared" si="12"/>
        <v>15.75</v>
      </c>
    </row>
    <row r="212" spans="1:9" x14ac:dyDescent="0.2">
      <c r="B212" s="105">
        <f>B211+1</f>
        <v>12</v>
      </c>
      <c r="C212" s="105">
        <f t="shared" si="8"/>
        <v>15.75</v>
      </c>
      <c r="D212" s="105">
        <f t="shared" si="11"/>
        <v>15.75</v>
      </c>
      <c r="E212" s="105">
        <f t="shared" si="9"/>
        <v>0.10500000000000001</v>
      </c>
      <c r="F212" s="105">
        <f t="shared" si="10"/>
        <v>15.855</v>
      </c>
      <c r="G212" s="105">
        <f t="shared" si="12"/>
        <v>0</v>
      </c>
      <c r="I212" s="92" t="s">
        <v>3331</v>
      </c>
    </row>
    <row r="213" spans="1:9" x14ac:dyDescent="0.2">
      <c r="B213" s="105"/>
      <c r="C213" s="105"/>
      <c r="D213" s="105"/>
      <c r="E213" s="105"/>
      <c r="F213" s="105"/>
      <c r="G213" s="105"/>
      <c r="I213" s="92" t="s">
        <v>3332</v>
      </c>
    </row>
    <row r="214" spans="1:9" x14ac:dyDescent="0.2">
      <c r="B214" s="105"/>
      <c r="C214" s="105"/>
      <c r="D214" s="105"/>
      <c r="E214" s="105"/>
      <c r="F214" s="105"/>
      <c r="G214" s="105"/>
      <c r="I214" s="92" t="s">
        <v>3333</v>
      </c>
    </row>
    <row r="215" spans="1:9" x14ac:dyDescent="0.2">
      <c r="C215" s="175"/>
      <c r="D215" s="175"/>
      <c r="E215" s="175"/>
      <c r="F215" s="175"/>
      <c r="G215" s="175"/>
    </row>
    <row r="216" spans="1:9" x14ac:dyDescent="0.2">
      <c r="A216" s="93" t="s">
        <v>1508</v>
      </c>
      <c r="C216" s="175"/>
      <c r="D216" s="175"/>
      <c r="E216" s="175"/>
      <c r="F216" s="175"/>
      <c r="G216" s="175"/>
    </row>
    <row r="217" spans="1:9" x14ac:dyDescent="0.2">
      <c r="A217" s="92" t="s">
        <v>1509</v>
      </c>
      <c r="C217" s="175"/>
      <c r="D217" s="175"/>
      <c r="E217" s="175"/>
      <c r="F217" s="175"/>
      <c r="G217" s="175"/>
    </row>
    <row r="218" spans="1:9" x14ac:dyDescent="0.2">
      <c r="A218" s="92" t="s">
        <v>1510</v>
      </c>
      <c r="C218" s="175"/>
      <c r="D218" s="175"/>
      <c r="E218" s="175"/>
      <c r="F218" s="175"/>
      <c r="G218" s="175"/>
    </row>
    <row r="219" spans="1:9" x14ac:dyDescent="0.2">
      <c r="A219" s="92" t="s">
        <v>1511</v>
      </c>
      <c r="C219" s="175"/>
      <c r="D219" s="175"/>
      <c r="E219" s="175"/>
      <c r="F219" s="175"/>
      <c r="G219" s="175"/>
    </row>
    <row r="220" spans="1:9" x14ac:dyDescent="0.2">
      <c r="A220" s="92" t="s">
        <v>1512</v>
      </c>
      <c r="C220" s="175"/>
      <c r="D220" s="175"/>
      <c r="E220" s="175"/>
      <c r="F220" s="175"/>
      <c r="G220" s="175"/>
    </row>
    <row r="221" spans="1:9" x14ac:dyDescent="0.2">
      <c r="A221" s="92" t="s">
        <v>1513</v>
      </c>
      <c r="C221" s="175"/>
      <c r="D221" s="175"/>
      <c r="E221" s="175"/>
      <c r="F221" s="175"/>
      <c r="G221" s="175"/>
    </row>
    <row r="222" spans="1:9" x14ac:dyDescent="0.2">
      <c r="A222" s="92" t="s">
        <v>1514</v>
      </c>
      <c r="C222" s="175"/>
      <c r="D222" s="175"/>
      <c r="E222" s="175"/>
      <c r="F222" s="175"/>
      <c r="G222" s="175"/>
    </row>
    <row r="223" spans="1:9" x14ac:dyDescent="0.2">
      <c r="A223" s="92" t="s">
        <v>1515</v>
      </c>
      <c r="C223" s="175"/>
      <c r="D223" s="175"/>
      <c r="E223" s="175"/>
      <c r="F223" s="175"/>
      <c r="G223" s="175"/>
    </row>
    <row r="224" spans="1:9" x14ac:dyDescent="0.2">
      <c r="C224" s="175"/>
      <c r="D224" s="175"/>
      <c r="E224" s="175"/>
      <c r="F224" s="175"/>
      <c r="G224" s="175"/>
    </row>
    <row r="225" spans="1:10" x14ac:dyDescent="0.2">
      <c r="A225" s="167" t="s">
        <v>3334</v>
      </c>
      <c r="B225" s="133"/>
      <c r="C225" s="133"/>
      <c r="D225" s="133"/>
      <c r="E225" s="133"/>
      <c r="F225" s="133"/>
      <c r="G225" s="133"/>
      <c r="H225" s="133"/>
    </row>
    <row r="226" spans="1:10" x14ac:dyDescent="0.2">
      <c r="A226" s="92" t="s">
        <v>3335</v>
      </c>
    </row>
    <row r="227" spans="1:10" ht="17" thickBot="1" x14ac:dyDescent="0.25">
      <c r="A227" s="92" t="s">
        <v>3336</v>
      </c>
    </row>
    <row r="228" spans="1:10" x14ac:dyDescent="0.2">
      <c r="A228" s="92" t="s">
        <v>3337</v>
      </c>
      <c r="H228" s="103" t="s">
        <v>3344</v>
      </c>
      <c r="I228" s="96" t="s">
        <v>3340</v>
      </c>
      <c r="J228" s="97"/>
    </row>
    <row r="229" spans="1:10" ht="17" thickBot="1" x14ac:dyDescent="0.25">
      <c r="H229" s="100"/>
      <c r="I229" s="101" t="s">
        <v>3342</v>
      </c>
      <c r="J229" s="102"/>
    </row>
    <row r="230" spans="1:10" x14ac:dyDescent="0.2">
      <c r="B230" s="110" t="s">
        <v>1448</v>
      </c>
      <c r="C230" s="110" t="s">
        <v>3338</v>
      </c>
      <c r="D230" s="110" t="s">
        <v>1450</v>
      </c>
      <c r="E230" s="110" t="s">
        <v>1451</v>
      </c>
      <c r="F230" s="110" t="s">
        <v>1452</v>
      </c>
      <c r="G230" s="110" t="s">
        <v>3339</v>
      </c>
    </row>
    <row r="231" spans="1:10" x14ac:dyDescent="0.2">
      <c r="B231" s="105">
        <v>0</v>
      </c>
      <c r="C231" s="695"/>
      <c r="D231" s="695"/>
      <c r="E231" s="695"/>
      <c r="F231" s="695"/>
      <c r="G231" s="105">
        <v>5000</v>
      </c>
      <c r="H231" s="92" t="s">
        <v>3345</v>
      </c>
      <c r="I231" s="92" t="s">
        <v>3341</v>
      </c>
    </row>
    <row r="232" spans="1:10" x14ac:dyDescent="0.2">
      <c r="B232" s="105">
        <v>1</v>
      </c>
      <c r="C232" s="105">
        <f>G231</f>
        <v>5000</v>
      </c>
      <c r="D232" s="670">
        <f>5000/(3*12)</f>
        <v>138.88888888888889</v>
      </c>
      <c r="E232" s="105">
        <f>1%*C232</f>
        <v>50</v>
      </c>
      <c r="F232" s="670">
        <f>D232+E232</f>
        <v>188.88888888888889</v>
      </c>
      <c r="G232" s="670">
        <f>G231-D232</f>
        <v>4861.1111111111113</v>
      </c>
      <c r="I232" s="92" t="s">
        <v>3343</v>
      </c>
    </row>
    <row r="233" spans="1:10" x14ac:dyDescent="0.2">
      <c r="B233" s="105">
        <v>2</v>
      </c>
      <c r="C233" s="670">
        <f t="shared" ref="C233:C236" si="13">G232</f>
        <v>4861.1111111111113</v>
      </c>
      <c r="D233" s="670">
        <f>D232</f>
        <v>138.88888888888889</v>
      </c>
      <c r="E233" s="670">
        <f t="shared" ref="E233:E236" si="14">1%*C233</f>
        <v>48.611111111111114</v>
      </c>
      <c r="F233" s="670">
        <f t="shared" ref="F233:F236" si="15">D233+E233</f>
        <v>187.5</v>
      </c>
      <c r="G233" s="670">
        <f>G232-D233</f>
        <v>4722.2222222222226</v>
      </c>
    </row>
    <row r="234" spans="1:10" x14ac:dyDescent="0.2">
      <c r="B234" s="105">
        <v>3</v>
      </c>
      <c r="C234" s="670">
        <f t="shared" si="13"/>
        <v>4722.2222222222226</v>
      </c>
      <c r="D234" s="670">
        <f t="shared" ref="D234:D236" si="16">D233</f>
        <v>138.88888888888889</v>
      </c>
      <c r="E234" s="670">
        <f t="shared" si="14"/>
        <v>47.222222222222229</v>
      </c>
      <c r="F234" s="670">
        <f t="shared" si="15"/>
        <v>186.11111111111111</v>
      </c>
      <c r="G234" s="670">
        <f t="shared" ref="G234:G236" si="17">G233-D234</f>
        <v>4583.3333333333339</v>
      </c>
    </row>
    <row r="235" spans="1:10" x14ac:dyDescent="0.2">
      <c r="B235" s="105">
        <v>4</v>
      </c>
      <c r="C235" s="670">
        <f t="shared" si="13"/>
        <v>4583.3333333333339</v>
      </c>
      <c r="D235" s="670">
        <f t="shared" si="16"/>
        <v>138.88888888888889</v>
      </c>
      <c r="E235" s="670">
        <f t="shared" si="14"/>
        <v>45.833333333333343</v>
      </c>
      <c r="F235" s="670">
        <f t="shared" si="15"/>
        <v>184.72222222222223</v>
      </c>
      <c r="G235" s="670">
        <f t="shared" si="17"/>
        <v>4444.4444444444453</v>
      </c>
    </row>
    <row r="236" spans="1:10" x14ac:dyDescent="0.2">
      <c r="B236" s="105">
        <v>5</v>
      </c>
      <c r="C236" s="670">
        <f t="shared" si="13"/>
        <v>4444.4444444444453</v>
      </c>
      <c r="D236" s="670">
        <f t="shared" si="16"/>
        <v>138.88888888888889</v>
      </c>
      <c r="E236" s="670">
        <f t="shared" si="14"/>
        <v>44.44444444444445</v>
      </c>
      <c r="F236" s="670">
        <f t="shared" si="15"/>
        <v>183.33333333333334</v>
      </c>
      <c r="G236" s="670">
        <f t="shared" si="17"/>
        <v>4305.5555555555566</v>
      </c>
    </row>
    <row r="237" spans="1:10" x14ac:dyDescent="0.2">
      <c r="D237" s="105"/>
    </row>
    <row r="238" spans="1:10" x14ac:dyDescent="0.2">
      <c r="D238" s="92" t="s">
        <v>3346</v>
      </c>
      <c r="E238" s="92" t="s">
        <v>3352</v>
      </c>
    </row>
    <row r="239" spans="1:10" x14ac:dyDescent="0.2">
      <c r="D239" s="92" t="s">
        <v>3347</v>
      </c>
      <c r="E239" s="92" t="s">
        <v>3353</v>
      </c>
    </row>
    <row r="240" spans="1:10" x14ac:dyDescent="0.2">
      <c r="D240" s="92" t="s">
        <v>1505</v>
      </c>
    </row>
    <row r="241" spans="1:8" x14ac:dyDescent="0.2">
      <c r="D241" s="92" t="s">
        <v>3348</v>
      </c>
    </row>
    <row r="242" spans="1:8" x14ac:dyDescent="0.2">
      <c r="D242" s="92" t="s">
        <v>3349</v>
      </c>
    </row>
    <row r="243" spans="1:8" x14ac:dyDescent="0.2">
      <c r="D243" s="93" t="s">
        <v>3350</v>
      </c>
    </row>
    <row r="244" spans="1:8" x14ac:dyDescent="0.2">
      <c r="D244" s="92" t="s">
        <v>3351</v>
      </c>
    </row>
    <row r="252" spans="1:8" x14ac:dyDescent="0.2">
      <c r="A252" s="167" t="s">
        <v>1516</v>
      </c>
      <c r="B252" s="167"/>
      <c r="C252" s="167"/>
      <c r="D252" s="167"/>
      <c r="E252" s="167"/>
      <c r="F252" s="167"/>
      <c r="G252" s="167"/>
      <c r="H252" s="167"/>
    </row>
    <row r="253" spans="1:8" x14ac:dyDescent="0.2">
      <c r="A253" s="92" t="s">
        <v>1517</v>
      </c>
    </row>
    <row r="254" spans="1:8" x14ac:dyDescent="0.2">
      <c r="A254" s="92" t="s">
        <v>1518</v>
      </c>
    </row>
    <row r="255" spans="1:8" x14ac:dyDescent="0.2">
      <c r="A255" s="92" t="s">
        <v>1519</v>
      </c>
    </row>
    <row r="257" spans="1:11" x14ac:dyDescent="0.2">
      <c r="A257" s="92" t="s">
        <v>1520</v>
      </c>
    </row>
    <row r="258" spans="1:11" ht="17" thickBot="1" x14ac:dyDescent="0.25">
      <c r="A258" s="92" t="s">
        <v>1521</v>
      </c>
    </row>
    <row r="259" spans="1:11" x14ac:dyDescent="0.2">
      <c r="A259" s="92" t="s">
        <v>1522</v>
      </c>
      <c r="G259" s="499" t="s">
        <v>1523</v>
      </c>
      <c r="H259" s="500"/>
      <c r="I259" s="500"/>
      <c r="J259" s="501">
        <f>C262</f>
        <v>3.0000000000000027E-2</v>
      </c>
      <c r="K259" s="502" t="s">
        <v>87</v>
      </c>
    </row>
    <row r="260" spans="1:11" x14ac:dyDescent="0.2">
      <c r="G260" s="503" t="s">
        <v>1524</v>
      </c>
      <c r="H260" s="504"/>
      <c r="I260" s="504"/>
      <c r="J260" s="504">
        <v>12</v>
      </c>
      <c r="K260" s="505" t="s">
        <v>89</v>
      </c>
    </row>
    <row r="261" spans="1:11" x14ac:dyDescent="0.2">
      <c r="G261" s="503" t="s">
        <v>1505</v>
      </c>
      <c r="H261" s="504"/>
      <c r="I261" s="504"/>
      <c r="J261" s="504">
        <v>500000</v>
      </c>
      <c r="K261" s="505" t="s">
        <v>281</v>
      </c>
    </row>
    <row r="262" spans="1:11" x14ac:dyDescent="0.2">
      <c r="C262" s="498">
        <f>1.12550881^0.25-1</f>
        <v>3.0000000000000027E-2</v>
      </c>
      <c r="G262" s="503" t="s">
        <v>1525</v>
      </c>
      <c r="H262" s="504"/>
      <c r="I262" s="504"/>
      <c r="J262" s="510">
        <f>PMT(J259,J260,J261,J263)</f>
        <v>-50231.042736481526</v>
      </c>
      <c r="K262" s="505" t="s">
        <v>91</v>
      </c>
    </row>
    <row r="263" spans="1:11" ht="17" thickBot="1" x14ac:dyDescent="0.25">
      <c r="G263" s="506" t="s">
        <v>1526</v>
      </c>
      <c r="H263" s="507"/>
      <c r="I263" s="507"/>
      <c r="J263" s="507">
        <v>0</v>
      </c>
      <c r="K263" s="508" t="s">
        <v>105</v>
      </c>
    </row>
    <row r="264" spans="1:11" x14ac:dyDescent="0.2">
      <c r="D264" s="105" t="s">
        <v>1490</v>
      </c>
      <c r="E264" s="105" t="s">
        <v>1491</v>
      </c>
      <c r="F264" s="105" t="s">
        <v>91</v>
      </c>
      <c r="G264" s="105" t="s">
        <v>281</v>
      </c>
    </row>
    <row r="265" spans="1:11" x14ac:dyDescent="0.2">
      <c r="D265" s="172" t="s">
        <v>1467</v>
      </c>
      <c r="E265" s="172" t="s">
        <v>1527</v>
      </c>
      <c r="F265" s="172" t="s">
        <v>1469</v>
      </c>
      <c r="G265" s="172" t="s">
        <v>1470</v>
      </c>
    </row>
    <row r="266" spans="1:11" x14ac:dyDescent="0.2">
      <c r="B266" s="169" t="s">
        <v>1448</v>
      </c>
      <c r="C266" s="169" t="s">
        <v>1449</v>
      </c>
      <c r="D266" s="169" t="s">
        <v>1450</v>
      </c>
      <c r="E266" s="169" t="s">
        <v>1451</v>
      </c>
      <c r="F266" s="169" t="s">
        <v>1452</v>
      </c>
      <c r="G266" s="169" t="s">
        <v>1453</v>
      </c>
    </row>
    <row r="267" spans="1:11" x14ac:dyDescent="0.2">
      <c r="B267" s="168">
        <v>0</v>
      </c>
      <c r="C267" s="170"/>
      <c r="D267" s="170"/>
      <c r="E267" s="170"/>
      <c r="F267" s="170"/>
      <c r="G267" s="171">
        <f>J261</f>
        <v>500000</v>
      </c>
      <c r="H267" s="112"/>
    </row>
    <row r="268" spans="1:11" x14ac:dyDescent="0.2">
      <c r="B268" s="168">
        <f>B267+1</f>
        <v>1</v>
      </c>
      <c r="C268" s="173">
        <f>J261</f>
        <v>500000</v>
      </c>
      <c r="D268" s="173">
        <f>F268-E268</f>
        <v>35231.042736481511</v>
      </c>
      <c r="E268" s="173">
        <f>C268*$J$259</f>
        <v>15000.000000000013</v>
      </c>
      <c r="F268" s="509">
        <f>-J262</f>
        <v>50231.042736481526</v>
      </c>
      <c r="G268" s="171">
        <f>C268-D268</f>
        <v>464768.95726351847</v>
      </c>
      <c r="H268" s="112"/>
    </row>
    <row r="269" spans="1:11" x14ac:dyDescent="0.2">
      <c r="B269" s="168">
        <f t="shared" ref="B269:B279" si="18">B268+1</f>
        <v>2</v>
      </c>
      <c r="C269" s="173">
        <f>G268</f>
        <v>464768.95726351847</v>
      </c>
      <c r="D269" s="173">
        <f t="shared" ref="D269:D279" si="19">F269-E269</f>
        <v>36287.974018575958</v>
      </c>
      <c r="E269" s="173">
        <f t="shared" ref="E269:E279" si="20">C269*$J$259</f>
        <v>13943.068717905566</v>
      </c>
      <c r="F269" s="173">
        <f>F268</f>
        <v>50231.042736481526</v>
      </c>
      <c r="G269" s="171">
        <f t="shared" ref="G269:G279" si="21">C269-D269</f>
        <v>428480.9832449425</v>
      </c>
      <c r="H269" s="112"/>
    </row>
    <row r="270" spans="1:11" x14ac:dyDescent="0.2">
      <c r="B270" s="168">
        <f t="shared" si="18"/>
        <v>3</v>
      </c>
      <c r="C270" s="173">
        <f t="shared" ref="C270:C279" si="22">G269</f>
        <v>428480.9832449425</v>
      </c>
      <c r="D270" s="173">
        <f t="shared" si="19"/>
        <v>37376.613239133236</v>
      </c>
      <c r="E270" s="173">
        <f t="shared" si="20"/>
        <v>12854.429497348287</v>
      </c>
      <c r="F270" s="173">
        <f t="shared" ref="F270:F279" si="23">F269</f>
        <v>50231.042736481526</v>
      </c>
      <c r="G270" s="171">
        <f t="shared" si="21"/>
        <v>391104.37000580924</v>
      </c>
      <c r="H270" s="112"/>
    </row>
    <row r="271" spans="1:11" x14ac:dyDescent="0.2">
      <c r="B271" s="168">
        <f t="shared" si="18"/>
        <v>4</v>
      </c>
      <c r="C271" s="173">
        <f t="shared" si="22"/>
        <v>391104.37000580924</v>
      </c>
      <c r="D271" s="173">
        <f t="shared" si="19"/>
        <v>38497.911636307239</v>
      </c>
      <c r="E271" s="173">
        <f t="shared" si="20"/>
        <v>11733.131100174287</v>
      </c>
      <c r="F271" s="173">
        <f t="shared" si="23"/>
        <v>50231.042736481526</v>
      </c>
      <c r="G271" s="171">
        <f t="shared" si="21"/>
        <v>352606.45836950198</v>
      </c>
      <c r="H271" s="112"/>
    </row>
    <row r="272" spans="1:11" x14ac:dyDescent="0.2">
      <c r="B272" s="168">
        <f t="shared" si="18"/>
        <v>5</v>
      </c>
      <c r="C272" s="173">
        <f t="shared" si="22"/>
        <v>352606.45836950198</v>
      </c>
      <c r="D272" s="173">
        <f t="shared" si="19"/>
        <v>39652.848985396457</v>
      </c>
      <c r="E272" s="173">
        <f t="shared" si="20"/>
        <v>10578.193751085069</v>
      </c>
      <c r="F272" s="173">
        <f t="shared" si="23"/>
        <v>50231.042736481526</v>
      </c>
      <c r="G272" s="171">
        <f t="shared" si="21"/>
        <v>312953.60938410554</v>
      </c>
      <c r="H272" s="112"/>
    </row>
    <row r="273" spans="1:8" x14ac:dyDescent="0.2">
      <c r="B273" s="168">
        <f t="shared" si="18"/>
        <v>6</v>
      </c>
      <c r="C273" s="173">
        <f t="shared" si="22"/>
        <v>312953.60938410554</v>
      </c>
      <c r="D273" s="173">
        <f t="shared" si="19"/>
        <v>40842.434454958347</v>
      </c>
      <c r="E273" s="173">
        <f t="shared" si="20"/>
        <v>9388.6082815231748</v>
      </c>
      <c r="F273" s="173">
        <f t="shared" si="23"/>
        <v>50231.042736481526</v>
      </c>
      <c r="G273" s="171">
        <f t="shared" si="21"/>
        <v>272111.17492914718</v>
      </c>
      <c r="H273" s="112"/>
    </row>
    <row r="274" spans="1:8" x14ac:dyDescent="0.2">
      <c r="B274" s="168">
        <f t="shared" si="18"/>
        <v>7</v>
      </c>
      <c r="C274" s="173">
        <f t="shared" si="22"/>
        <v>272111.17492914718</v>
      </c>
      <c r="D274" s="173">
        <f t="shared" si="19"/>
        <v>42067.707488607106</v>
      </c>
      <c r="E274" s="173">
        <f t="shared" si="20"/>
        <v>8163.3352478744227</v>
      </c>
      <c r="F274" s="173">
        <f t="shared" si="23"/>
        <v>50231.042736481526</v>
      </c>
      <c r="G274" s="171">
        <f t="shared" si="21"/>
        <v>230043.46744054009</v>
      </c>
      <c r="H274" s="112"/>
    </row>
    <row r="275" spans="1:8" x14ac:dyDescent="0.2">
      <c r="B275" s="168">
        <f t="shared" si="18"/>
        <v>8</v>
      </c>
      <c r="C275" s="173">
        <f t="shared" si="22"/>
        <v>230043.46744054009</v>
      </c>
      <c r="D275" s="173">
        <f t="shared" si="19"/>
        <v>43329.738713265317</v>
      </c>
      <c r="E275" s="173">
        <f t="shared" si="20"/>
        <v>6901.3040232162084</v>
      </c>
      <c r="F275" s="173">
        <f t="shared" si="23"/>
        <v>50231.042736481526</v>
      </c>
      <c r="G275" s="171">
        <f t="shared" si="21"/>
        <v>186713.72872727478</v>
      </c>
      <c r="H275" s="112"/>
    </row>
    <row r="276" spans="1:8" x14ac:dyDescent="0.2">
      <c r="B276" s="168">
        <f t="shared" si="18"/>
        <v>9</v>
      </c>
      <c r="C276" s="173">
        <f t="shared" si="22"/>
        <v>186713.72872727478</v>
      </c>
      <c r="D276" s="173">
        <f t="shared" si="19"/>
        <v>44629.630874663279</v>
      </c>
      <c r="E276" s="173">
        <f t="shared" si="20"/>
        <v>5601.4118618182483</v>
      </c>
      <c r="F276" s="173">
        <f t="shared" si="23"/>
        <v>50231.042736481526</v>
      </c>
      <c r="G276" s="171">
        <f t="shared" si="21"/>
        <v>142084.09785261151</v>
      </c>
      <c r="H276" s="112"/>
    </row>
    <row r="277" spans="1:8" x14ac:dyDescent="0.2">
      <c r="B277" s="168">
        <f t="shared" si="18"/>
        <v>10</v>
      </c>
      <c r="C277" s="173">
        <f t="shared" si="22"/>
        <v>142084.09785261151</v>
      </c>
      <c r="D277" s="173">
        <f t="shared" si="19"/>
        <v>45968.519800903174</v>
      </c>
      <c r="E277" s="173">
        <f t="shared" si="20"/>
        <v>4262.5229355783486</v>
      </c>
      <c r="F277" s="173">
        <f t="shared" si="23"/>
        <v>50231.042736481526</v>
      </c>
      <c r="G277" s="171">
        <f t="shared" si="21"/>
        <v>96115.578051708333</v>
      </c>
      <c r="H277" s="112"/>
    </row>
    <row r="278" spans="1:8" x14ac:dyDescent="0.2">
      <c r="B278" s="168">
        <f t="shared" si="18"/>
        <v>11</v>
      </c>
      <c r="C278" s="173">
        <f t="shared" si="22"/>
        <v>96115.578051708333</v>
      </c>
      <c r="D278" s="173">
        <f t="shared" si="19"/>
        <v>47347.575394930274</v>
      </c>
      <c r="E278" s="173">
        <f t="shared" si="20"/>
        <v>2883.4673415512525</v>
      </c>
      <c r="F278" s="173">
        <f t="shared" si="23"/>
        <v>50231.042736481526</v>
      </c>
      <c r="G278" s="171">
        <f t="shared" si="21"/>
        <v>48768.002656778059</v>
      </c>
      <c r="H278" s="112"/>
    </row>
    <row r="279" spans="1:8" x14ac:dyDescent="0.2">
      <c r="B279" s="168">
        <f t="shared" si="18"/>
        <v>12</v>
      </c>
      <c r="C279" s="173">
        <f t="shared" si="22"/>
        <v>48768.002656778059</v>
      </c>
      <c r="D279" s="173">
        <f t="shared" si="19"/>
        <v>48768.002656778182</v>
      </c>
      <c r="E279" s="173">
        <f t="shared" si="20"/>
        <v>1463.0400797033431</v>
      </c>
      <c r="F279" s="173">
        <f t="shared" si="23"/>
        <v>50231.042736481526</v>
      </c>
      <c r="G279" s="171">
        <f t="shared" si="21"/>
        <v>-1.2369127944111824E-10</v>
      </c>
      <c r="H279" s="112"/>
    </row>
    <row r="281" spans="1:8" x14ac:dyDescent="0.2">
      <c r="A281" s="167" t="s">
        <v>1528</v>
      </c>
      <c r="B281" s="167"/>
      <c r="C281" s="167"/>
      <c r="D281" s="167"/>
      <c r="E281" s="167"/>
      <c r="F281" s="167"/>
      <c r="G281" s="167"/>
      <c r="H281" s="167"/>
    </row>
    <row r="282" spans="1:8" x14ac:dyDescent="0.2">
      <c r="A282" s="92" t="s">
        <v>1529</v>
      </c>
    </row>
    <row r="283" spans="1:8" x14ac:dyDescent="0.2">
      <c r="A283" s="92" t="s">
        <v>1530</v>
      </c>
    </row>
    <row r="284" spans="1:8" x14ac:dyDescent="0.2">
      <c r="A284" s="92" t="s">
        <v>321</v>
      </c>
    </row>
    <row r="285" spans="1:8" x14ac:dyDescent="0.2">
      <c r="A285" s="92" t="s">
        <v>1474</v>
      </c>
    </row>
    <row r="286" spans="1:8" x14ac:dyDescent="0.2">
      <c r="A286" s="92" t="s">
        <v>1531</v>
      </c>
    </row>
    <row r="287" spans="1:8" x14ac:dyDescent="0.2">
      <c r="A287" s="92" t="s">
        <v>1532</v>
      </c>
    </row>
    <row r="288" spans="1:8" x14ac:dyDescent="0.2">
      <c r="A288" s="92" t="s">
        <v>1533</v>
      </c>
    </row>
    <row r="290" spans="1:8" x14ac:dyDescent="0.2">
      <c r="A290" s="92" t="s">
        <v>1534</v>
      </c>
      <c r="B290" s="92" t="s">
        <v>611</v>
      </c>
      <c r="C290" s="174">
        <f>-PMT(0.7%,20*12,300000,0)</f>
        <v>2584.513486051419</v>
      </c>
    </row>
    <row r="291" spans="1:8" x14ac:dyDescent="0.2">
      <c r="B291" s="92" t="s">
        <v>610</v>
      </c>
      <c r="C291" s="174">
        <f>-PPMT(0.7%,39,20*12,300000,0)</f>
        <v>631.57619262370019</v>
      </c>
    </row>
    <row r="292" spans="1:8" x14ac:dyDescent="0.2">
      <c r="B292" s="92" t="s">
        <v>1371</v>
      </c>
      <c r="C292" s="174">
        <f>-IPMT(0.7%,52,20*12,300000,0)</f>
        <v>1892.9869213033057</v>
      </c>
    </row>
    <row r="293" spans="1:8" x14ac:dyDescent="0.2">
      <c r="B293" s="92" t="s">
        <v>1373</v>
      </c>
      <c r="C293" s="174">
        <f>PV(0.7%,20*12-74,-C290,0)</f>
        <v>253234.73111197984</v>
      </c>
    </row>
    <row r="295" spans="1:8" x14ac:dyDescent="0.2">
      <c r="A295" s="167" t="s">
        <v>1535</v>
      </c>
      <c r="B295" s="167"/>
      <c r="C295" s="167"/>
      <c r="D295" s="167"/>
      <c r="E295" s="167"/>
      <c r="F295" s="167"/>
      <c r="G295" s="167"/>
      <c r="H295" s="167"/>
    </row>
    <row r="296" spans="1:8" x14ac:dyDescent="0.2">
      <c r="A296" s="92" t="s">
        <v>1536</v>
      </c>
    </row>
    <row r="297" spans="1:8" x14ac:dyDescent="0.2">
      <c r="A297" s="92" t="s">
        <v>1537</v>
      </c>
    </row>
    <row r="298" spans="1:8" x14ac:dyDescent="0.2">
      <c r="A298" s="92" t="s">
        <v>321</v>
      </c>
    </row>
    <row r="299" spans="1:8" x14ac:dyDescent="0.2">
      <c r="A299" s="92" t="s">
        <v>1538</v>
      </c>
    </row>
    <row r="300" spans="1:8" x14ac:dyDescent="0.2">
      <c r="A300" s="92" t="s">
        <v>1539</v>
      </c>
    </row>
    <row r="301" spans="1:8" x14ac:dyDescent="0.2">
      <c r="A301" s="92" t="s">
        <v>1540</v>
      </c>
    </row>
    <row r="302" spans="1:8" x14ac:dyDescent="0.2">
      <c r="A302" s="92" t="s">
        <v>1541</v>
      </c>
    </row>
    <row r="304" spans="1:8" x14ac:dyDescent="0.2">
      <c r="A304" s="92" t="s">
        <v>1542</v>
      </c>
    </row>
    <row r="306" spans="1:8" x14ac:dyDescent="0.2">
      <c r="C306" s="172" t="s">
        <v>1467</v>
      </c>
      <c r="D306" s="172" t="s">
        <v>1527</v>
      </c>
      <c r="E306" s="172" t="s">
        <v>1469</v>
      </c>
      <c r="F306" s="172" t="s">
        <v>1470</v>
      </c>
    </row>
    <row r="307" spans="1:8" x14ac:dyDescent="0.2">
      <c r="A307" s="169" t="s">
        <v>1448</v>
      </c>
      <c r="B307" s="169" t="s">
        <v>1449</v>
      </c>
      <c r="C307" s="169" t="s">
        <v>1450</v>
      </c>
      <c r="D307" s="169" t="s">
        <v>1451</v>
      </c>
      <c r="E307" s="169" t="s">
        <v>1452</v>
      </c>
      <c r="F307" s="169" t="s">
        <v>1453</v>
      </c>
    </row>
    <row r="308" spans="1:8" x14ac:dyDescent="0.2">
      <c r="A308" s="168">
        <v>0</v>
      </c>
      <c r="B308" s="170"/>
      <c r="C308" s="170"/>
      <c r="D308" s="170"/>
      <c r="E308" s="170"/>
      <c r="F308" s="171">
        <v>200000</v>
      </c>
    </row>
    <row r="309" spans="1:8" x14ac:dyDescent="0.2">
      <c r="A309" s="168">
        <f>A308+1</f>
        <v>1</v>
      </c>
      <c r="B309" s="171">
        <f>F308</f>
        <v>200000</v>
      </c>
      <c r="C309" s="176">
        <f>F308/10</f>
        <v>20000</v>
      </c>
      <c r="D309" s="171">
        <f>B309*7%</f>
        <v>14000.000000000002</v>
      </c>
      <c r="E309" s="171">
        <f>C309+D309</f>
        <v>34000</v>
      </c>
      <c r="F309" s="171">
        <f>B309-C309</f>
        <v>180000</v>
      </c>
      <c r="G309" s="92" t="s">
        <v>1543</v>
      </c>
    </row>
    <row r="310" spans="1:8" x14ac:dyDescent="0.2">
      <c r="A310" s="168">
        <f t="shared" ref="A310:A318" si="24">A309+1</f>
        <v>2</v>
      </c>
      <c r="B310" s="171">
        <f t="shared" ref="B310:B318" si="25">F309</f>
        <v>180000</v>
      </c>
      <c r="C310" s="171">
        <f>C309</f>
        <v>20000</v>
      </c>
      <c r="D310" s="171">
        <f t="shared" ref="D310:D313" si="26">B310*7%</f>
        <v>12600.000000000002</v>
      </c>
      <c r="E310" s="171">
        <f t="shared" ref="E310:E318" si="27">C310+D310</f>
        <v>32600</v>
      </c>
      <c r="F310" s="171">
        <f t="shared" ref="F310:F314" si="28">B310-C310</f>
        <v>160000</v>
      </c>
    </row>
    <row r="311" spans="1:8" x14ac:dyDescent="0.2">
      <c r="A311" s="168">
        <f t="shared" si="24"/>
        <v>3</v>
      </c>
      <c r="B311" s="171">
        <f t="shared" si="25"/>
        <v>160000</v>
      </c>
      <c r="C311" s="171">
        <f t="shared" ref="C311:C318" si="29">C310</f>
        <v>20000</v>
      </c>
      <c r="D311" s="171">
        <f t="shared" si="26"/>
        <v>11200.000000000002</v>
      </c>
      <c r="E311" s="171">
        <f t="shared" si="27"/>
        <v>31200</v>
      </c>
      <c r="F311" s="171">
        <f t="shared" si="28"/>
        <v>140000</v>
      </c>
    </row>
    <row r="312" spans="1:8" x14ac:dyDescent="0.2">
      <c r="A312" s="168">
        <f t="shared" si="24"/>
        <v>4</v>
      </c>
      <c r="B312" s="171">
        <f t="shared" si="25"/>
        <v>140000</v>
      </c>
      <c r="C312" s="171">
        <f t="shared" si="29"/>
        <v>20000</v>
      </c>
      <c r="D312" s="171">
        <f t="shared" si="26"/>
        <v>9800.0000000000018</v>
      </c>
      <c r="E312" s="171">
        <f t="shared" si="27"/>
        <v>29800</v>
      </c>
      <c r="F312" s="171">
        <f t="shared" si="28"/>
        <v>120000</v>
      </c>
    </row>
    <row r="313" spans="1:8" x14ac:dyDescent="0.2">
      <c r="A313" s="168">
        <f t="shared" si="24"/>
        <v>5</v>
      </c>
      <c r="B313" s="171">
        <f t="shared" si="25"/>
        <v>120000</v>
      </c>
      <c r="C313" s="171">
        <f t="shared" si="29"/>
        <v>20000</v>
      </c>
      <c r="D313" s="171">
        <f t="shared" si="26"/>
        <v>8400</v>
      </c>
      <c r="E313" s="171">
        <f t="shared" si="27"/>
        <v>28400</v>
      </c>
      <c r="F313" s="171">
        <f t="shared" si="28"/>
        <v>100000</v>
      </c>
    </row>
    <row r="314" spans="1:8" x14ac:dyDescent="0.2">
      <c r="A314" s="168">
        <f t="shared" si="24"/>
        <v>6</v>
      </c>
      <c r="B314" s="171">
        <f t="shared" si="25"/>
        <v>100000</v>
      </c>
      <c r="C314" s="171">
        <f t="shared" si="29"/>
        <v>20000</v>
      </c>
      <c r="D314" s="176">
        <f>B314*7%</f>
        <v>7000.0000000000009</v>
      </c>
      <c r="E314" s="171">
        <f t="shared" si="27"/>
        <v>27000</v>
      </c>
      <c r="F314" s="171">
        <f t="shared" si="28"/>
        <v>80000</v>
      </c>
      <c r="G314" s="92" t="s">
        <v>1544</v>
      </c>
    </row>
    <row r="315" spans="1:8" x14ac:dyDescent="0.2">
      <c r="A315" s="168">
        <f t="shared" si="24"/>
        <v>7</v>
      </c>
      <c r="B315" s="171">
        <f t="shared" si="25"/>
        <v>80000</v>
      </c>
      <c r="C315" s="171">
        <f t="shared" si="29"/>
        <v>20000</v>
      </c>
      <c r="D315" s="171">
        <f>B315*7%</f>
        <v>5600.0000000000009</v>
      </c>
      <c r="E315" s="171">
        <f t="shared" si="27"/>
        <v>25600</v>
      </c>
      <c r="F315" s="176">
        <f>B315-C315</f>
        <v>60000</v>
      </c>
      <c r="G315" s="92" t="s">
        <v>1545</v>
      </c>
    </row>
    <row r="316" spans="1:8" x14ac:dyDescent="0.2">
      <c r="A316" s="168">
        <f t="shared" si="24"/>
        <v>8</v>
      </c>
      <c r="B316" s="171">
        <f t="shared" si="25"/>
        <v>60000</v>
      </c>
      <c r="C316" s="171">
        <f t="shared" si="29"/>
        <v>20000</v>
      </c>
      <c r="D316" s="171">
        <f t="shared" ref="D316:D318" si="30">B316*7%</f>
        <v>4200</v>
      </c>
      <c r="E316" s="171">
        <f t="shared" si="27"/>
        <v>24200</v>
      </c>
      <c r="F316" s="171">
        <f>B316-C316</f>
        <v>40000</v>
      </c>
    </row>
    <row r="317" spans="1:8" x14ac:dyDescent="0.2">
      <c r="A317" s="168">
        <f t="shared" si="24"/>
        <v>9</v>
      </c>
      <c r="B317" s="171">
        <f t="shared" si="25"/>
        <v>40000</v>
      </c>
      <c r="C317" s="171">
        <f t="shared" si="29"/>
        <v>20000</v>
      </c>
      <c r="D317" s="171">
        <f t="shared" si="30"/>
        <v>2800.0000000000005</v>
      </c>
      <c r="E317" s="171">
        <f t="shared" si="27"/>
        <v>22800</v>
      </c>
      <c r="F317" s="171">
        <f t="shared" ref="F317:F318" si="31">B317-C317</f>
        <v>20000</v>
      </c>
    </row>
    <row r="318" spans="1:8" x14ac:dyDescent="0.2">
      <c r="A318" s="168">
        <f t="shared" si="24"/>
        <v>10</v>
      </c>
      <c r="B318" s="171">
        <f t="shared" si="25"/>
        <v>20000</v>
      </c>
      <c r="C318" s="171">
        <f t="shared" si="29"/>
        <v>20000</v>
      </c>
      <c r="D318" s="171">
        <f t="shared" si="30"/>
        <v>1400.0000000000002</v>
      </c>
      <c r="E318" s="171">
        <f t="shared" si="27"/>
        <v>21400</v>
      </c>
      <c r="F318" s="171">
        <f t="shared" si="31"/>
        <v>0</v>
      </c>
    </row>
    <row r="320" spans="1:8" x14ac:dyDescent="0.2">
      <c r="A320" s="167" t="s">
        <v>1546</v>
      </c>
      <c r="B320" s="167"/>
      <c r="C320" s="167"/>
      <c r="D320" s="167"/>
      <c r="E320" s="167"/>
      <c r="F320" s="167"/>
      <c r="G320" s="167"/>
      <c r="H320" s="167"/>
    </row>
    <row r="321" spans="1:5" x14ac:dyDescent="0.2">
      <c r="A321" s="92" t="s">
        <v>1547</v>
      </c>
    </row>
    <row r="322" spans="1:5" x14ac:dyDescent="0.2">
      <c r="A322" s="92" t="s">
        <v>1548</v>
      </c>
    </row>
    <row r="323" spans="1:5" x14ac:dyDescent="0.2">
      <c r="A323" s="92" t="s">
        <v>321</v>
      </c>
    </row>
    <row r="324" spans="1:5" x14ac:dyDescent="0.2">
      <c r="A324" s="92" t="s">
        <v>1549</v>
      </c>
    </row>
    <row r="325" spans="1:5" x14ac:dyDescent="0.2">
      <c r="A325" s="92" t="s">
        <v>1550</v>
      </c>
    </row>
    <row r="326" spans="1:5" x14ac:dyDescent="0.2">
      <c r="A326" s="92" t="s">
        <v>1551</v>
      </c>
    </row>
    <row r="327" spans="1:5" x14ac:dyDescent="0.2">
      <c r="A327" s="92" t="s">
        <v>1552</v>
      </c>
    </row>
    <row r="328" spans="1:5" x14ac:dyDescent="0.2">
      <c r="A328" s="92" t="s">
        <v>1553</v>
      </c>
    </row>
    <row r="330" spans="1:5" x14ac:dyDescent="0.2">
      <c r="A330" s="92" t="s">
        <v>111</v>
      </c>
    </row>
    <row r="332" spans="1:5" x14ac:dyDescent="0.2">
      <c r="A332" s="92" t="s">
        <v>1071</v>
      </c>
      <c r="D332" s="132">
        <v>0.08</v>
      </c>
      <c r="E332" s="92" t="s">
        <v>368</v>
      </c>
    </row>
    <row r="333" spans="1:5" x14ac:dyDescent="0.2">
      <c r="D333" s="92">
        <f>6</f>
        <v>6</v>
      </c>
      <c r="E333" s="92" t="s">
        <v>89</v>
      </c>
    </row>
    <row r="334" spans="1:5" x14ac:dyDescent="0.2">
      <c r="D334" s="92">
        <v>500000</v>
      </c>
      <c r="E334" s="92" t="s">
        <v>281</v>
      </c>
    </row>
    <row r="335" spans="1:5" x14ac:dyDescent="0.2">
      <c r="D335" s="256">
        <f>PMT(D332,D333,D334,D336)</f>
        <v>-108157.69311450492</v>
      </c>
      <c r="E335" s="92" t="s">
        <v>91</v>
      </c>
    </row>
    <row r="336" spans="1:5" x14ac:dyDescent="0.2">
      <c r="D336" s="92">
        <v>0</v>
      </c>
      <c r="E336" s="92" t="s">
        <v>105</v>
      </c>
    </row>
    <row r="339" spans="1:7" x14ac:dyDescent="0.2">
      <c r="A339" s="92" t="s">
        <v>696</v>
      </c>
      <c r="B339" s="92" t="s">
        <v>564</v>
      </c>
      <c r="C339" s="92" t="s">
        <v>1449</v>
      </c>
      <c r="D339" s="92" t="s">
        <v>1450</v>
      </c>
      <c r="E339" s="92" t="s">
        <v>1451</v>
      </c>
      <c r="F339" s="92" t="s">
        <v>1452</v>
      </c>
      <c r="G339" s="92" t="s">
        <v>1453</v>
      </c>
    </row>
    <row r="340" spans="1:7" x14ac:dyDescent="0.2">
      <c r="B340" s="92">
        <v>0</v>
      </c>
      <c r="G340" s="92">
        <v>500000</v>
      </c>
    </row>
    <row r="341" spans="1:7" x14ac:dyDescent="0.2">
      <c r="B341" s="92">
        <f>B340+1</f>
        <v>1</v>
      </c>
      <c r="C341" s="92">
        <f>G340</f>
        <v>500000</v>
      </c>
      <c r="D341" s="109">
        <f>F341-E341</f>
        <v>68157.693114504917</v>
      </c>
      <c r="E341" s="92">
        <f>G340*$D$332</f>
        <v>40000</v>
      </c>
      <c r="F341" s="109">
        <f>-D335</f>
        <v>108157.69311450492</v>
      </c>
      <c r="G341" s="109">
        <f>C341-D341</f>
        <v>431842.30688549508</v>
      </c>
    </row>
    <row r="342" spans="1:7" x14ac:dyDescent="0.2">
      <c r="B342" s="92">
        <f t="shared" ref="B342:B346" si="32">B341+1</f>
        <v>2</v>
      </c>
      <c r="C342" s="511">
        <f t="shared" ref="C342:C346" si="33">G341</f>
        <v>431842.30688549508</v>
      </c>
      <c r="D342" s="109">
        <f t="shared" ref="D342:D346" si="34">F342-E342</f>
        <v>73610.308563665312</v>
      </c>
      <c r="E342" s="511">
        <f t="shared" ref="E342:E346" si="35">G341*$D$332</f>
        <v>34547.384550839604</v>
      </c>
      <c r="F342" s="109">
        <f>F341</f>
        <v>108157.69311450492</v>
      </c>
      <c r="G342" s="109">
        <f t="shared" ref="G342:G346" si="36">C342-D342</f>
        <v>358231.99832182977</v>
      </c>
    </row>
    <row r="343" spans="1:7" x14ac:dyDescent="0.2">
      <c r="B343" s="92">
        <f t="shared" si="32"/>
        <v>3</v>
      </c>
      <c r="C343" s="511">
        <f t="shared" si="33"/>
        <v>358231.99832182977</v>
      </c>
      <c r="D343" s="109">
        <f t="shared" si="34"/>
        <v>79499.133248758531</v>
      </c>
      <c r="E343" s="511">
        <f t="shared" si="35"/>
        <v>28658.559865746382</v>
      </c>
      <c r="F343" s="109">
        <f t="shared" ref="F343:F346" si="37">F342</f>
        <v>108157.69311450492</v>
      </c>
      <c r="G343" s="109">
        <f t="shared" si="36"/>
        <v>278732.86507307121</v>
      </c>
    </row>
    <row r="344" spans="1:7" x14ac:dyDescent="0.2">
      <c r="B344" s="92">
        <f t="shared" si="32"/>
        <v>4</v>
      </c>
      <c r="C344" s="511">
        <f t="shared" si="33"/>
        <v>278732.86507307121</v>
      </c>
      <c r="D344" s="109">
        <f t="shared" si="34"/>
        <v>85859.063908659213</v>
      </c>
      <c r="E344" s="511">
        <f t="shared" si="35"/>
        <v>22298.629205845697</v>
      </c>
      <c r="F344" s="109">
        <f t="shared" si="37"/>
        <v>108157.69311450492</v>
      </c>
      <c r="G344" s="109">
        <f t="shared" si="36"/>
        <v>192873.801164412</v>
      </c>
    </row>
    <row r="345" spans="1:7" x14ac:dyDescent="0.2">
      <c r="B345" s="92">
        <f t="shared" si="32"/>
        <v>5</v>
      </c>
      <c r="C345" s="511">
        <f t="shared" si="33"/>
        <v>192873.801164412</v>
      </c>
      <c r="D345" s="109">
        <f t="shared" si="34"/>
        <v>92727.789021351957</v>
      </c>
      <c r="E345" s="511">
        <f t="shared" si="35"/>
        <v>15429.90409315296</v>
      </c>
      <c r="F345" s="109">
        <f t="shared" si="37"/>
        <v>108157.69311450492</v>
      </c>
      <c r="G345" s="109">
        <f t="shared" si="36"/>
        <v>100146.01214306004</v>
      </c>
    </row>
    <row r="346" spans="1:7" x14ac:dyDescent="0.2">
      <c r="B346" s="92">
        <f t="shared" si="32"/>
        <v>6</v>
      </c>
      <c r="C346" s="511">
        <f t="shared" si="33"/>
        <v>100146.01214306004</v>
      </c>
      <c r="D346" s="109">
        <f t="shared" si="34"/>
        <v>100146.01214306011</v>
      </c>
      <c r="E346" s="511">
        <f t="shared" si="35"/>
        <v>8011.6809714448036</v>
      </c>
      <c r="F346" s="109">
        <f t="shared" si="37"/>
        <v>108157.69311450492</v>
      </c>
      <c r="G346" s="109">
        <f t="shared" si="36"/>
        <v>0</v>
      </c>
    </row>
    <row r="348" spans="1:7" x14ac:dyDescent="0.2">
      <c r="A348" s="92" t="s">
        <v>1075</v>
      </c>
      <c r="B348" s="92" t="s">
        <v>1554</v>
      </c>
      <c r="F348" s="132">
        <v>0.08</v>
      </c>
      <c r="G348" s="92" t="s">
        <v>368</v>
      </c>
    </row>
    <row r="349" spans="1:7" x14ac:dyDescent="0.2">
      <c r="F349" s="92">
        <v>3</v>
      </c>
      <c r="G349" s="92" t="s">
        <v>89</v>
      </c>
    </row>
    <row r="350" spans="1:7" x14ac:dyDescent="0.2">
      <c r="E350" s="92" t="s">
        <v>1555</v>
      </c>
      <c r="F350" s="512">
        <f>PV(F348,F349,F351,F352)</f>
        <v>278732.86507307144</v>
      </c>
      <c r="G350" s="92" t="s">
        <v>281</v>
      </c>
    </row>
    <row r="351" spans="1:7" x14ac:dyDescent="0.2">
      <c r="F351" s="256">
        <f>D335</f>
        <v>-108157.69311450492</v>
      </c>
      <c r="G351" s="92" t="s">
        <v>91</v>
      </c>
    </row>
    <row r="352" spans="1:7" x14ac:dyDescent="0.2">
      <c r="F352" s="92">
        <v>0</v>
      </c>
      <c r="G352" s="92" t="s">
        <v>105</v>
      </c>
    </row>
    <row r="354" spans="1:7" x14ac:dyDescent="0.2">
      <c r="A354" s="92" t="s">
        <v>1556</v>
      </c>
      <c r="B354" s="92" t="s">
        <v>1557</v>
      </c>
      <c r="F354" s="104">
        <f>F348</f>
        <v>0.08</v>
      </c>
      <c r="G354" s="92" t="s">
        <v>87</v>
      </c>
    </row>
    <row r="355" spans="1:7" x14ac:dyDescent="0.2">
      <c r="F355" s="105">
        <v>6</v>
      </c>
      <c r="G355" s="92" t="s">
        <v>89</v>
      </c>
    </row>
    <row r="356" spans="1:7" x14ac:dyDescent="0.2">
      <c r="F356" s="105">
        <f>D334</f>
        <v>500000</v>
      </c>
      <c r="G356" s="92" t="s">
        <v>281</v>
      </c>
    </row>
    <row r="357" spans="1:7" x14ac:dyDescent="0.2">
      <c r="F357" s="105">
        <f>I348</f>
        <v>0</v>
      </c>
      <c r="G357" s="92" t="s">
        <v>105</v>
      </c>
    </row>
    <row r="358" spans="1:7" x14ac:dyDescent="0.2">
      <c r="F358" s="105">
        <v>3</v>
      </c>
      <c r="G358" s="92" t="s">
        <v>1488</v>
      </c>
    </row>
    <row r="359" spans="1:7" x14ac:dyDescent="0.2">
      <c r="E359" s="92" t="s">
        <v>1555</v>
      </c>
      <c r="F359" s="106">
        <f>PPMT(F354,F358,F355,F356,F357)</f>
        <v>-79499.133248758517</v>
      </c>
      <c r="G359" s="92" t="s">
        <v>1490</v>
      </c>
    </row>
    <row r="361" spans="1:7" x14ac:dyDescent="0.2">
      <c r="A361" s="92" t="s">
        <v>1558</v>
      </c>
      <c r="B361" s="92" t="s">
        <v>1559</v>
      </c>
    </row>
    <row r="362" spans="1:7" x14ac:dyDescent="0.2">
      <c r="F362" s="109">
        <f>F346*6</f>
        <v>648946.1586870295</v>
      </c>
      <c r="G362" s="92" t="s">
        <v>1560</v>
      </c>
    </row>
    <row r="363" spans="1:7" x14ac:dyDescent="0.2">
      <c r="B363" s="92" t="s">
        <v>1561</v>
      </c>
    </row>
    <row r="364" spans="1:7" x14ac:dyDescent="0.2">
      <c r="F364" s="109">
        <f>F356</f>
        <v>500000</v>
      </c>
    </row>
    <row r="366" spans="1:7" x14ac:dyDescent="0.2">
      <c r="B366" s="92" t="s">
        <v>1562</v>
      </c>
      <c r="F366" s="109">
        <f>F362-F364</f>
        <v>148946.1586870295</v>
      </c>
    </row>
    <row r="368" spans="1:7" x14ac:dyDescent="0.2">
      <c r="B368" s="92" t="s">
        <v>1563</v>
      </c>
    </row>
    <row r="369" spans="1:8" x14ac:dyDescent="0.2">
      <c r="B369" s="92" t="s">
        <v>1564</v>
      </c>
    </row>
    <row r="372" spans="1:8" x14ac:dyDescent="0.2">
      <c r="A372" s="167" t="s">
        <v>1565</v>
      </c>
      <c r="B372" s="167"/>
      <c r="C372" s="167"/>
      <c r="D372" s="167"/>
      <c r="E372" s="167"/>
      <c r="F372" s="167"/>
      <c r="G372" s="167"/>
      <c r="H372" s="167"/>
    </row>
    <row r="373" spans="1:8" x14ac:dyDescent="0.2">
      <c r="A373" s="92" t="s">
        <v>1566</v>
      </c>
    </row>
    <row r="374" spans="1:8" x14ac:dyDescent="0.2">
      <c r="A374" s="92" t="s">
        <v>1567</v>
      </c>
    </row>
    <row r="376" spans="1:8" x14ac:dyDescent="0.2">
      <c r="A376" s="92" t="s">
        <v>321</v>
      </c>
    </row>
    <row r="377" spans="1:8" x14ac:dyDescent="0.2">
      <c r="A377" s="92" t="s">
        <v>1568</v>
      </c>
    </row>
    <row r="378" spans="1:8" x14ac:dyDescent="0.2">
      <c r="A378" s="92" t="s">
        <v>1569</v>
      </c>
    </row>
    <row r="379" spans="1:8" x14ac:dyDescent="0.2">
      <c r="A379" s="92" t="s">
        <v>1570</v>
      </c>
    </row>
    <row r="381" spans="1:8" x14ac:dyDescent="0.2">
      <c r="A381" s="92" t="s">
        <v>1071</v>
      </c>
      <c r="D381" s="132">
        <v>0.06</v>
      </c>
      <c r="E381" s="92" t="s">
        <v>368</v>
      </c>
    </row>
    <row r="382" spans="1:8" x14ac:dyDescent="0.2">
      <c r="D382" s="92">
        <v>60</v>
      </c>
      <c r="E382" s="92" t="s">
        <v>89</v>
      </c>
    </row>
    <row r="383" spans="1:8" x14ac:dyDescent="0.2">
      <c r="D383" s="92">
        <v>80000</v>
      </c>
      <c r="E383" s="92" t="s">
        <v>281</v>
      </c>
    </row>
    <row r="384" spans="1:8" x14ac:dyDescent="0.2">
      <c r="D384" s="256">
        <f>PMT(D381,D382,D383,D385)</f>
        <v>-4950.0577213281385</v>
      </c>
      <c r="E384" s="92" t="s">
        <v>91</v>
      </c>
    </row>
    <row r="385" spans="1:5" x14ac:dyDescent="0.2">
      <c r="D385" s="92">
        <v>0</v>
      </c>
      <c r="E385" s="92" t="s">
        <v>105</v>
      </c>
    </row>
    <row r="387" spans="1:5" x14ac:dyDescent="0.2">
      <c r="A387" s="92" t="s">
        <v>1073</v>
      </c>
      <c r="D387" s="132">
        <v>0.06</v>
      </c>
      <c r="E387" s="92" t="s">
        <v>368</v>
      </c>
    </row>
    <row r="388" spans="1:5" x14ac:dyDescent="0.2">
      <c r="D388" s="92">
        <f>60-12*2</f>
        <v>36</v>
      </c>
      <c r="E388" s="92" t="s">
        <v>89</v>
      </c>
    </row>
    <row r="389" spans="1:5" x14ac:dyDescent="0.2">
      <c r="D389" s="512">
        <f>PV(D387,D388,D390,D391)</f>
        <v>72374.730254216411</v>
      </c>
      <c r="E389" s="92" t="s">
        <v>281</v>
      </c>
    </row>
    <row r="390" spans="1:5" x14ac:dyDescent="0.2">
      <c r="D390" s="256">
        <f>D384</f>
        <v>-4950.0577213281385</v>
      </c>
      <c r="E390" s="92" t="s">
        <v>91</v>
      </c>
    </row>
    <row r="391" spans="1:5" x14ac:dyDescent="0.2">
      <c r="D391" s="92">
        <v>0</v>
      </c>
      <c r="E391" s="92" t="s">
        <v>105</v>
      </c>
    </row>
    <row r="393" spans="1:5" x14ac:dyDescent="0.2">
      <c r="A393" s="92" t="s">
        <v>1075</v>
      </c>
      <c r="D393" s="104">
        <f>D387</f>
        <v>0.06</v>
      </c>
      <c r="E393" s="92" t="s">
        <v>87</v>
      </c>
    </row>
    <row r="394" spans="1:5" x14ac:dyDescent="0.2">
      <c r="D394" s="105">
        <v>60</v>
      </c>
      <c r="E394" s="92" t="s">
        <v>89</v>
      </c>
    </row>
    <row r="395" spans="1:5" x14ac:dyDescent="0.2">
      <c r="D395" s="105">
        <f>D383</f>
        <v>80000</v>
      </c>
      <c r="E395" s="92" t="s">
        <v>281</v>
      </c>
    </row>
    <row r="396" spans="1:5" x14ac:dyDescent="0.2">
      <c r="D396" s="105">
        <f>G387</f>
        <v>0</v>
      </c>
      <c r="E396" s="92" t="s">
        <v>105</v>
      </c>
    </row>
    <row r="397" spans="1:5" x14ac:dyDescent="0.2">
      <c r="A397" s="92" t="s">
        <v>1571</v>
      </c>
      <c r="D397" s="105">
        <v>32</v>
      </c>
      <c r="E397" s="92" t="s">
        <v>1488</v>
      </c>
    </row>
    <row r="398" spans="1:5" x14ac:dyDescent="0.2">
      <c r="A398" s="106">
        <f>IPMT(D393,D397,D394,D395,D396)</f>
        <v>-4036.4912115799607</v>
      </c>
      <c r="B398" s="92" t="s">
        <v>1572</v>
      </c>
      <c r="D398" s="106">
        <f>PPMT(D393,D397,D394,D395,D396)</f>
        <v>-913.56650974817819</v>
      </c>
      <c r="E398" s="92" t="s">
        <v>1490</v>
      </c>
    </row>
    <row r="399" spans="1:5" x14ac:dyDescent="0.2">
      <c r="D399" s="92" t="s">
        <v>1573</v>
      </c>
    </row>
    <row r="401" spans="1:8" x14ac:dyDescent="0.2">
      <c r="A401" s="167" t="s">
        <v>395</v>
      </c>
      <c r="B401" s="167"/>
      <c r="C401" s="167"/>
      <c r="D401" s="167"/>
      <c r="E401" s="167"/>
      <c r="F401" s="167"/>
      <c r="G401" s="167"/>
      <c r="H401" s="167"/>
    </row>
    <row r="402" spans="1:8" x14ac:dyDescent="0.2">
      <c r="A402" s="92" t="s">
        <v>1574</v>
      </c>
    </row>
    <row r="403" spans="1:8" x14ac:dyDescent="0.2">
      <c r="A403" s="92" t="s">
        <v>1575</v>
      </c>
    </row>
    <row r="404" spans="1:8" x14ac:dyDescent="0.2">
      <c r="A404" s="92" t="s">
        <v>321</v>
      </c>
    </row>
    <row r="405" spans="1:8" x14ac:dyDescent="0.2">
      <c r="A405" s="92" t="s">
        <v>1576</v>
      </c>
    </row>
    <row r="406" spans="1:8" x14ac:dyDescent="0.2">
      <c r="A406" s="92" t="s">
        <v>1577</v>
      </c>
    </row>
    <row r="408" spans="1:8" x14ac:dyDescent="0.2">
      <c r="A408" s="92" t="s">
        <v>111</v>
      </c>
    </row>
    <row r="410" spans="1:8" x14ac:dyDescent="0.2">
      <c r="A410" s="92" t="s">
        <v>2783</v>
      </c>
    </row>
    <row r="411" spans="1:8" x14ac:dyDescent="0.2">
      <c r="A411" s="92" t="s">
        <v>2784</v>
      </c>
      <c r="G411" s="92" t="s">
        <v>2780</v>
      </c>
    </row>
    <row r="412" spans="1:8" x14ac:dyDescent="0.2">
      <c r="A412" s="92" t="s">
        <v>2785</v>
      </c>
    </row>
    <row r="413" spans="1:8" x14ac:dyDescent="0.2">
      <c r="A413" s="92" t="s">
        <v>2791</v>
      </c>
      <c r="G413" s="92" t="s">
        <v>2786</v>
      </c>
    </row>
    <row r="415" spans="1:8" x14ac:dyDescent="0.2">
      <c r="A415" s="92" t="s">
        <v>1071</v>
      </c>
      <c r="B415" s="92" t="s">
        <v>1578</v>
      </c>
      <c r="D415" s="513">
        <f>150000/7</f>
        <v>21428.571428571428</v>
      </c>
      <c r="E415" s="92" t="s">
        <v>1579</v>
      </c>
      <c r="G415" s="92" t="s">
        <v>2787</v>
      </c>
    </row>
    <row r="416" spans="1:8" x14ac:dyDescent="0.2">
      <c r="B416" s="92" t="s">
        <v>1580</v>
      </c>
      <c r="D416" s="92">
        <v>4</v>
      </c>
    </row>
    <row r="417" spans="1:7" x14ac:dyDescent="0.2">
      <c r="B417" s="92" t="s">
        <v>1581</v>
      </c>
      <c r="D417" s="513">
        <f>D415*D416</f>
        <v>85714.28571428571</v>
      </c>
      <c r="F417" s="92" t="s">
        <v>1582</v>
      </c>
      <c r="G417" s="92" t="s">
        <v>2788</v>
      </c>
    </row>
    <row r="419" spans="1:7" x14ac:dyDescent="0.2">
      <c r="B419" s="92" t="s">
        <v>1583</v>
      </c>
      <c r="D419" s="109">
        <v>150000</v>
      </c>
      <c r="G419" s="92" t="s">
        <v>2789</v>
      </c>
    </row>
    <row r="420" spans="1:7" x14ac:dyDescent="0.2">
      <c r="B420" s="92" t="s">
        <v>1584</v>
      </c>
      <c r="D420" s="513">
        <f>D417</f>
        <v>85714.28571428571</v>
      </c>
      <c r="G420" s="92" t="s">
        <v>2788</v>
      </c>
    </row>
    <row r="421" spans="1:7" x14ac:dyDescent="0.2">
      <c r="B421" s="92" t="s">
        <v>1585</v>
      </c>
      <c r="D421" s="514">
        <f>D419-D420</f>
        <v>64285.71428571429</v>
      </c>
      <c r="G421" s="92" t="s">
        <v>2790</v>
      </c>
    </row>
    <row r="423" spans="1:7" x14ac:dyDescent="0.2">
      <c r="A423" s="92" t="s">
        <v>1073</v>
      </c>
      <c r="B423" s="92" t="s">
        <v>1586</v>
      </c>
    </row>
    <row r="424" spans="1:7" x14ac:dyDescent="0.2">
      <c r="B424" s="92" t="s">
        <v>1587</v>
      </c>
    </row>
    <row r="426" spans="1:7" x14ac:dyDescent="0.2">
      <c r="B426" s="92" t="s">
        <v>1578</v>
      </c>
      <c r="D426" s="513">
        <f>150000/7</f>
        <v>21428.571428571428</v>
      </c>
      <c r="E426" s="92" t="s">
        <v>1579</v>
      </c>
    </row>
    <row r="427" spans="1:7" x14ac:dyDescent="0.2">
      <c r="B427" s="92" t="s">
        <v>1580</v>
      </c>
      <c r="D427" s="92">
        <v>6</v>
      </c>
    </row>
    <row r="428" spans="1:7" x14ac:dyDescent="0.2">
      <c r="B428" s="92" t="s">
        <v>1581</v>
      </c>
      <c r="D428" s="513">
        <f>D426*D427</f>
        <v>128571.42857142857</v>
      </c>
    </row>
    <row r="430" spans="1:7" x14ac:dyDescent="0.2">
      <c r="B430" s="92" t="s">
        <v>1583</v>
      </c>
      <c r="D430" s="109">
        <v>150000</v>
      </c>
    </row>
    <row r="431" spans="1:7" x14ac:dyDescent="0.2">
      <c r="B431" s="92" t="s">
        <v>1584</v>
      </c>
      <c r="D431" s="513">
        <f>D428</f>
        <v>128571.42857142857</v>
      </c>
    </row>
    <row r="432" spans="1:7" x14ac:dyDescent="0.2">
      <c r="B432" s="92" t="s">
        <v>1588</v>
      </c>
      <c r="D432" s="515">
        <f>D430-D431</f>
        <v>21428.571428571435</v>
      </c>
      <c r="E432" s="92" t="s">
        <v>1589</v>
      </c>
    </row>
    <row r="434" spans="1:8" x14ac:dyDescent="0.2">
      <c r="B434" s="92" t="s">
        <v>1590</v>
      </c>
      <c r="D434" s="132">
        <v>0.06</v>
      </c>
    </row>
    <row r="436" spans="1:8" x14ac:dyDescent="0.2">
      <c r="B436" s="92" t="s">
        <v>1591</v>
      </c>
      <c r="D436" s="514">
        <f>D432*D434</f>
        <v>1285.714285714286</v>
      </c>
      <c r="E436" s="92" t="s">
        <v>316</v>
      </c>
    </row>
    <row r="438" spans="1:8" x14ac:dyDescent="0.2">
      <c r="A438" s="92" t="s">
        <v>2792</v>
      </c>
      <c r="C438" s="642">
        <f>(150000-150000/7*6)*6%</f>
        <v>1285.714285714286</v>
      </c>
    </row>
    <row r="440" spans="1:8" x14ac:dyDescent="0.2">
      <c r="A440" s="92" t="s">
        <v>2793</v>
      </c>
    </row>
    <row r="446" spans="1:8" x14ac:dyDescent="0.2">
      <c r="A446" s="167" t="s">
        <v>1592</v>
      </c>
      <c r="B446" s="167"/>
      <c r="C446" s="167"/>
      <c r="D446" s="167"/>
      <c r="E446" s="167"/>
      <c r="F446" s="167"/>
      <c r="G446" s="167"/>
      <c r="H446" s="167"/>
    </row>
    <row r="447" spans="1:8" x14ac:dyDescent="0.2">
      <c r="A447" s="92" t="s">
        <v>1593</v>
      </c>
    </row>
    <row r="448" spans="1:8" x14ac:dyDescent="0.2">
      <c r="A448" s="92" t="s">
        <v>1594</v>
      </c>
    </row>
    <row r="449" spans="1:1" x14ac:dyDescent="0.2">
      <c r="A449" s="92" t="s">
        <v>1595</v>
      </c>
    </row>
    <row r="450" spans="1:1" x14ac:dyDescent="0.2">
      <c r="A450" s="92" t="s">
        <v>1596</v>
      </c>
    </row>
    <row r="451" spans="1:1" x14ac:dyDescent="0.2">
      <c r="A451" s="92" t="s">
        <v>1597</v>
      </c>
    </row>
    <row r="453" spans="1:1" x14ac:dyDescent="0.2">
      <c r="A453" s="92" t="s">
        <v>321</v>
      </c>
    </row>
    <row r="454" spans="1:1" x14ac:dyDescent="0.2">
      <c r="A454" s="92" t="s">
        <v>1598</v>
      </c>
    </row>
    <row r="455" spans="1:1" x14ac:dyDescent="0.2">
      <c r="A455" s="92" t="s">
        <v>1599</v>
      </c>
    </row>
    <row r="456" spans="1:1" x14ac:dyDescent="0.2">
      <c r="A456" s="92" t="s">
        <v>1600</v>
      </c>
    </row>
    <row r="458" spans="1:1" x14ac:dyDescent="0.2">
      <c r="A458" s="92" t="s">
        <v>111</v>
      </c>
    </row>
    <row r="460" spans="1:1" x14ac:dyDescent="0.2">
      <c r="A460" s="92" t="s">
        <v>1601</v>
      </c>
    </row>
    <row r="461" spans="1:1" x14ac:dyDescent="0.2">
      <c r="A461" s="92" t="s">
        <v>1602</v>
      </c>
    </row>
    <row r="463" spans="1:1" x14ac:dyDescent="0.2">
      <c r="A463" s="92" t="s">
        <v>1603</v>
      </c>
    </row>
    <row r="464" spans="1:1" x14ac:dyDescent="0.2">
      <c r="A464" s="92" t="s">
        <v>1604</v>
      </c>
    </row>
    <row r="465" spans="1:6" x14ac:dyDescent="0.2">
      <c r="A465" s="92" t="s">
        <v>1605</v>
      </c>
    </row>
    <row r="466" spans="1:6" x14ac:dyDescent="0.2">
      <c r="A466" s="92" t="s">
        <v>1606</v>
      </c>
      <c r="E466" s="92" t="s">
        <v>1607</v>
      </c>
    </row>
    <row r="467" spans="1:6" x14ac:dyDescent="0.2">
      <c r="E467" s="92" t="s">
        <v>1608</v>
      </c>
    </row>
    <row r="469" spans="1:6" x14ac:dyDescent="0.2">
      <c r="A469" s="92" t="s">
        <v>1609</v>
      </c>
    </row>
    <row r="470" spans="1:6" x14ac:dyDescent="0.2">
      <c r="A470" s="92" t="s">
        <v>1610</v>
      </c>
    </row>
    <row r="472" spans="1:6" x14ac:dyDescent="0.2">
      <c r="A472" s="92" t="s">
        <v>1611</v>
      </c>
    </row>
    <row r="474" spans="1:6" x14ac:dyDescent="0.2">
      <c r="D474" s="132">
        <v>0.1</v>
      </c>
      <c r="E474" s="92" t="s">
        <v>368</v>
      </c>
    </row>
    <row r="475" spans="1:6" x14ac:dyDescent="0.2">
      <c r="D475" s="92">
        <v>28</v>
      </c>
      <c r="E475" s="92" t="s">
        <v>89</v>
      </c>
    </row>
    <row r="476" spans="1:6" x14ac:dyDescent="0.2">
      <c r="D476" s="92">
        <v>70000</v>
      </c>
      <c r="E476" s="92" t="s">
        <v>281</v>
      </c>
    </row>
    <row r="477" spans="1:6" x14ac:dyDescent="0.2">
      <c r="D477" s="256">
        <f>PMT(D474,D475,D476,D478)</f>
        <v>-7521.5709211310059</v>
      </c>
      <c r="E477" s="92" t="s">
        <v>91</v>
      </c>
      <c r="F477" s="92" t="s">
        <v>1612</v>
      </c>
    </row>
    <row r="478" spans="1:6" x14ac:dyDescent="0.2">
      <c r="D478" s="92">
        <v>0</v>
      </c>
      <c r="E478" s="92" t="s">
        <v>105</v>
      </c>
    </row>
    <row r="480" spans="1:6" x14ac:dyDescent="0.2">
      <c r="A480" s="92" t="s">
        <v>1613</v>
      </c>
    </row>
    <row r="481" spans="1:6" x14ac:dyDescent="0.2">
      <c r="A481" s="92" t="s">
        <v>1614</v>
      </c>
    </row>
    <row r="483" spans="1:6" x14ac:dyDescent="0.2">
      <c r="D483" s="132">
        <f>D474</f>
        <v>0.1</v>
      </c>
      <c r="E483" s="92" t="s">
        <v>368</v>
      </c>
    </row>
    <row r="484" spans="1:6" x14ac:dyDescent="0.2">
      <c r="D484" s="92">
        <v>40</v>
      </c>
      <c r="E484" s="92" t="s">
        <v>89</v>
      </c>
    </row>
    <row r="485" spans="1:6" x14ac:dyDescent="0.2">
      <c r="D485" s="512">
        <f>PV(D483,D484,D486,D487)</f>
        <v>73553.823520370905</v>
      </c>
      <c r="E485" s="92" t="s">
        <v>281</v>
      </c>
      <c r="F485" s="92" t="s">
        <v>1615</v>
      </c>
    </row>
    <row r="486" spans="1:6" x14ac:dyDescent="0.2">
      <c r="D486" s="256">
        <f>D477</f>
        <v>-7521.5709211310059</v>
      </c>
      <c r="E486" s="92" t="s">
        <v>91</v>
      </c>
    </row>
    <row r="487" spans="1:6" x14ac:dyDescent="0.2">
      <c r="D487" s="92">
        <v>0</v>
      </c>
      <c r="E487" s="92" t="s">
        <v>105</v>
      </c>
    </row>
    <row r="489" spans="1:6" x14ac:dyDescent="0.2">
      <c r="A489" s="92" t="s">
        <v>1616</v>
      </c>
    </row>
    <row r="490" spans="1:6" x14ac:dyDescent="0.2">
      <c r="A490" s="92" t="s">
        <v>1617</v>
      </c>
    </row>
    <row r="491" spans="1:6" x14ac:dyDescent="0.2">
      <c r="A491" s="92" t="s">
        <v>1618</v>
      </c>
    </row>
    <row r="492" spans="1:6" x14ac:dyDescent="0.2">
      <c r="A492" s="92" t="s">
        <v>1619</v>
      </c>
    </row>
    <row r="493" spans="1:6" x14ac:dyDescent="0.2">
      <c r="A493" s="92" t="s">
        <v>1620</v>
      </c>
      <c r="C493" s="304">
        <f>500000*1.01^5</f>
        <v>525505.02504999994</v>
      </c>
      <c r="E493" s="92" t="s">
        <v>1621</v>
      </c>
    </row>
    <row r="495" spans="1:6" x14ac:dyDescent="0.2">
      <c r="A495" s="92" t="s">
        <v>1622</v>
      </c>
    </row>
    <row r="496" spans="1:6" x14ac:dyDescent="0.2">
      <c r="A496" s="92" t="s">
        <v>1623</v>
      </c>
    </row>
    <row r="497" spans="4:6" x14ac:dyDescent="0.2">
      <c r="D497" s="132">
        <v>0.01</v>
      </c>
      <c r="E497" s="92" t="s">
        <v>368</v>
      </c>
    </row>
    <row r="498" spans="4:6" x14ac:dyDescent="0.2">
      <c r="D498" s="92">
        <v>31</v>
      </c>
      <c r="E498" s="92" t="s">
        <v>89</v>
      </c>
    </row>
    <row r="499" spans="4:6" x14ac:dyDescent="0.2">
      <c r="D499" s="304">
        <f>C493</f>
        <v>525505.02504999994</v>
      </c>
      <c r="E499" s="92" t="s">
        <v>281</v>
      </c>
    </row>
    <row r="500" spans="4:6" x14ac:dyDescent="0.2">
      <c r="D500" s="256">
        <f>PMT(D497,D498,D499,D501)</f>
        <v>-19798.785890956235</v>
      </c>
      <c r="E500" s="92" t="s">
        <v>91</v>
      </c>
      <c r="F500" s="92" t="s">
        <v>316</v>
      </c>
    </row>
    <row r="501" spans="4:6" x14ac:dyDescent="0.2">
      <c r="D501" s="92">
        <v>0</v>
      </c>
      <c r="E501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306"/>
  <sheetViews>
    <sheetView showGridLines="0" rightToLeft="1" topLeftCell="A102" zoomScale="300" zoomScaleNormal="300" workbookViewId="0">
      <selection activeCell="C308" sqref="C308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30" t="s">
        <v>3354</v>
      </c>
      <c r="B1" s="730"/>
      <c r="C1" s="730"/>
      <c r="D1" s="730"/>
      <c r="E1" s="730"/>
      <c r="F1" s="730"/>
      <c r="G1" s="730"/>
      <c r="H1" s="730"/>
    </row>
    <row r="3" spans="1:8" x14ac:dyDescent="0.2">
      <c r="A3" s="178" t="s">
        <v>1624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1625</v>
      </c>
    </row>
    <row r="5" spans="1:8" x14ac:dyDescent="0.2">
      <c r="A5" s="43" t="s">
        <v>1626</v>
      </c>
    </row>
    <row r="6" spans="1:8" x14ac:dyDescent="0.2">
      <c r="A6" s="43" t="s">
        <v>1627</v>
      </c>
    </row>
    <row r="8" spans="1:8" x14ac:dyDescent="0.2">
      <c r="A8" s="179" t="s">
        <v>1628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1629</v>
      </c>
    </row>
    <row r="10" spans="1:8" x14ac:dyDescent="0.2">
      <c r="A10" s="43" t="s">
        <v>1630</v>
      </c>
    </row>
    <row r="11" spans="1:8" x14ac:dyDescent="0.2">
      <c r="A11" s="43" t="s">
        <v>1631</v>
      </c>
    </row>
    <row r="12" spans="1:8" x14ac:dyDescent="0.2">
      <c r="A12" s="43" t="s">
        <v>1632</v>
      </c>
    </row>
    <row r="14" spans="1:8" x14ac:dyDescent="0.2">
      <c r="A14" s="179" t="s">
        <v>1633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1634</v>
      </c>
    </row>
    <row r="25" spans="1:2" x14ac:dyDescent="0.2">
      <c r="A25" s="43" t="s">
        <v>65</v>
      </c>
    </row>
    <row r="26" spans="1:2" x14ac:dyDescent="0.2">
      <c r="A26" s="47" t="s">
        <v>1467</v>
      </c>
      <c r="B26" s="43" t="s">
        <v>1635</v>
      </c>
    </row>
    <row r="27" spans="1:2" x14ac:dyDescent="0.2">
      <c r="A27" s="47" t="s">
        <v>1636</v>
      </c>
      <c r="B27" s="43" t="s">
        <v>1505</v>
      </c>
    </row>
    <row r="28" spans="1:2" x14ac:dyDescent="0.2">
      <c r="A28" s="47" t="s">
        <v>69</v>
      </c>
      <c r="B28" s="43" t="s">
        <v>1637</v>
      </c>
    </row>
    <row r="29" spans="1:2" x14ac:dyDescent="0.2">
      <c r="A29" s="47" t="s">
        <v>1638</v>
      </c>
      <c r="B29" s="43" t="s">
        <v>1639</v>
      </c>
    </row>
    <row r="30" spans="1:2" x14ac:dyDescent="0.2">
      <c r="A30" s="47" t="s">
        <v>1640</v>
      </c>
      <c r="B30" s="43" t="s">
        <v>1641</v>
      </c>
    </row>
    <row r="31" spans="1:2" x14ac:dyDescent="0.2">
      <c r="A31" s="47" t="s">
        <v>1642</v>
      </c>
      <c r="B31" s="43" t="s">
        <v>1643</v>
      </c>
    </row>
    <row r="32" spans="1:2" x14ac:dyDescent="0.2">
      <c r="A32" s="47" t="s">
        <v>1644</v>
      </c>
      <c r="B32" s="43" t="s">
        <v>1645</v>
      </c>
    </row>
    <row r="35" spans="1:8" x14ac:dyDescent="0.2">
      <c r="A35" s="180" t="s">
        <v>2796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2795</v>
      </c>
    </row>
    <row r="37" spans="1:8" x14ac:dyDescent="0.2">
      <c r="A37" s="43" t="s">
        <v>2797</v>
      </c>
    </row>
    <row r="38" spans="1:8" x14ac:dyDescent="0.2">
      <c r="A38" s="43" t="s">
        <v>2794</v>
      </c>
    </row>
    <row r="40" spans="1:8" x14ac:dyDescent="0.2">
      <c r="A40" s="44" t="s">
        <v>111</v>
      </c>
    </row>
    <row r="41" spans="1:8" x14ac:dyDescent="0.2">
      <c r="A41" s="44" t="s">
        <v>3355</v>
      </c>
    </row>
    <row r="42" spans="1:8" x14ac:dyDescent="0.2">
      <c r="A42" s="43" t="s">
        <v>2798</v>
      </c>
    </row>
    <row r="43" spans="1:8" x14ac:dyDescent="0.2">
      <c r="A43" s="43" t="s">
        <v>2799</v>
      </c>
    </row>
    <row r="44" spans="1:8" x14ac:dyDescent="0.2">
      <c r="A44" s="43" t="s">
        <v>2800</v>
      </c>
    </row>
    <row r="45" spans="1:8" x14ac:dyDescent="0.2">
      <c r="A45" s="43" t="s">
        <v>2801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2802</v>
      </c>
    </row>
    <row r="52" spans="1:8" x14ac:dyDescent="0.2">
      <c r="A52" s="43" t="s">
        <v>2803</v>
      </c>
    </row>
    <row r="53" spans="1:8" x14ac:dyDescent="0.2">
      <c r="A53" s="43" t="s">
        <v>2804</v>
      </c>
    </row>
    <row r="54" spans="1:8" x14ac:dyDescent="0.2">
      <c r="A54" s="43" t="s">
        <v>2805</v>
      </c>
    </row>
    <row r="55" spans="1:8" x14ac:dyDescent="0.2">
      <c r="A55" s="43" t="s">
        <v>2806</v>
      </c>
    </row>
    <row r="56" spans="1:8" x14ac:dyDescent="0.2">
      <c r="A56" s="43" t="s">
        <v>2807</v>
      </c>
    </row>
    <row r="58" spans="1:8" x14ac:dyDescent="0.2">
      <c r="A58" s="43" t="s">
        <v>2808</v>
      </c>
    </row>
    <row r="59" spans="1:8" x14ac:dyDescent="0.2">
      <c r="A59" s="43" t="s">
        <v>2809</v>
      </c>
    </row>
    <row r="61" spans="1:8" x14ac:dyDescent="0.2">
      <c r="A61" s="44" t="s">
        <v>2810</v>
      </c>
      <c r="B61" s="44"/>
      <c r="C61" s="44"/>
      <c r="D61" s="44"/>
      <c r="E61" s="44"/>
      <c r="F61" s="44"/>
    </row>
    <row r="62" spans="1:8" x14ac:dyDescent="0.2">
      <c r="A62" s="44" t="s">
        <v>2811</v>
      </c>
      <c r="B62" s="44"/>
      <c r="C62" s="44"/>
      <c r="D62" s="44"/>
      <c r="E62" s="44"/>
      <c r="F62" s="44" t="s">
        <v>2812</v>
      </c>
    </row>
    <row r="64" spans="1:8" ht="16" x14ac:dyDescent="0.2">
      <c r="A64" s="92"/>
      <c r="B64" s="92"/>
      <c r="C64" s="172" t="s">
        <v>1467</v>
      </c>
      <c r="D64" s="172" t="s">
        <v>1527</v>
      </c>
      <c r="E64" s="516" t="s">
        <v>1469</v>
      </c>
      <c r="F64" s="172" t="s">
        <v>1470</v>
      </c>
      <c r="H64" s="43" t="s">
        <v>1646</v>
      </c>
    </row>
    <row r="65" spans="1:10" ht="16" x14ac:dyDescent="0.2">
      <c r="A65" s="169" t="s">
        <v>1448</v>
      </c>
      <c r="B65" s="169" t="s">
        <v>1449</v>
      </c>
      <c r="C65" s="169" t="s">
        <v>1450</v>
      </c>
      <c r="D65" s="169" t="s">
        <v>1451</v>
      </c>
      <c r="E65" s="169" t="s">
        <v>1452</v>
      </c>
      <c r="F65" s="169" t="s">
        <v>1453</v>
      </c>
      <c r="H65" s="43" t="s">
        <v>1647</v>
      </c>
    </row>
    <row r="66" spans="1:10" ht="16" x14ac:dyDescent="0.2">
      <c r="A66" s="184">
        <v>0</v>
      </c>
      <c r="B66" s="170"/>
      <c r="C66" s="170"/>
      <c r="D66" s="170"/>
      <c r="E66" s="170"/>
      <c r="F66" s="518">
        <v>150000</v>
      </c>
      <c r="H66" s="59" t="s">
        <v>1648</v>
      </c>
      <c r="I66" s="59"/>
      <c r="J66" s="59"/>
    </row>
    <row r="67" spans="1:10" ht="16" x14ac:dyDescent="0.2">
      <c r="A67" s="184">
        <f>A66+1</f>
        <v>1</v>
      </c>
      <c r="B67" s="518">
        <f>F66</f>
        <v>150000</v>
      </c>
      <c r="C67" s="518">
        <f>E67-D67</f>
        <v>7096.3909810507521</v>
      </c>
      <c r="D67" s="518">
        <f>H$68*B67</f>
        <v>1500</v>
      </c>
      <c r="E67" s="518">
        <f>-PMT(1%,12,150000,-60000)</f>
        <v>8596.3909810507521</v>
      </c>
      <c r="F67" s="518">
        <f>B67-C67</f>
        <v>142903.60901894924</v>
      </c>
    </row>
    <row r="68" spans="1:10" ht="16" x14ac:dyDescent="0.2">
      <c r="A68" s="184">
        <f t="shared" ref="A68:A78" si="0">A67+1</f>
        <v>2</v>
      </c>
      <c r="B68" s="518">
        <f t="shared" ref="B68:B78" si="1">F67</f>
        <v>142903.60901894924</v>
      </c>
      <c r="C68" s="518">
        <f t="shared" ref="C68:C78" si="2">E68-D68</f>
        <v>7167.3548908612593</v>
      </c>
      <c r="D68" s="518">
        <f t="shared" ref="D68:D78" si="3">H$68*B68</f>
        <v>1429.0360901894924</v>
      </c>
      <c r="E68" s="518">
        <f>E67</f>
        <v>8596.3909810507521</v>
      </c>
      <c r="F68" s="518">
        <f t="shared" ref="F68:F78" si="4">B68-C68</f>
        <v>135736.25412808798</v>
      </c>
      <c r="H68" s="645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18">
        <f t="shared" si="1"/>
        <v>135736.25412808798</v>
      </c>
      <c r="C69" s="518">
        <f t="shared" si="2"/>
        <v>7239.0284397698724</v>
      </c>
      <c r="D69" s="518">
        <f t="shared" si="3"/>
        <v>1357.3625412808799</v>
      </c>
      <c r="E69" s="518">
        <f>E68</f>
        <v>8596.3909810507521</v>
      </c>
      <c r="F69" s="518">
        <f t="shared" si="4"/>
        <v>128497.22568831811</v>
      </c>
      <c r="G69" s="43" t="s">
        <v>2813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18">
        <f t="shared" si="1"/>
        <v>128497.22568831811</v>
      </c>
      <c r="C70" s="518">
        <f t="shared" si="2"/>
        <v>7311.4187241675709</v>
      </c>
      <c r="D70" s="518">
        <f t="shared" si="3"/>
        <v>1284.9722568831812</v>
      </c>
      <c r="E70" s="518">
        <f>E69</f>
        <v>8596.3909810507521</v>
      </c>
      <c r="F70" s="518">
        <f t="shared" si="4"/>
        <v>121185.80696415054</v>
      </c>
      <c r="G70" s="43" t="s">
        <v>2322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18">
        <f t="shared" si="1"/>
        <v>121185.80696415054</v>
      </c>
      <c r="C71" s="518">
        <f t="shared" si="2"/>
        <v>7384.5329114092465</v>
      </c>
      <c r="D71" s="518">
        <f t="shared" si="3"/>
        <v>1211.8580696415054</v>
      </c>
      <c r="E71" s="518">
        <f t="shared" ref="E71:E77" si="5">E70</f>
        <v>8596.3909810507521</v>
      </c>
      <c r="F71" s="518">
        <f t="shared" si="4"/>
        <v>113801.2740527413</v>
      </c>
      <c r="G71" s="290"/>
      <c r="H71" s="492">
        <f>PMT(H68,H69,H70,H72)</f>
        <v>-8596.3909810507521</v>
      </c>
      <c r="I71" s="290" t="s">
        <v>91</v>
      </c>
      <c r="J71" s="290"/>
    </row>
    <row r="72" spans="1:10" ht="16" x14ac:dyDescent="0.2">
      <c r="A72" s="184">
        <f t="shared" si="0"/>
        <v>6</v>
      </c>
      <c r="B72" s="518">
        <f t="shared" si="1"/>
        <v>113801.2740527413</v>
      </c>
      <c r="C72" s="518">
        <f t="shared" si="2"/>
        <v>7458.3782405233396</v>
      </c>
      <c r="D72" s="518">
        <f t="shared" si="3"/>
        <v>1138.0127405274129</v>
      </c>
      <c r="E72" s="518">
        <f t="shared" si="5"/>
        <v>8596.3909810507521</v>
      </c>
      <c r="F72" s="518">
        <f t="shared" si="4"/>
        <v>106342.89581221796</v>
      </c>
      <c r="G72" s="43" t="s">
        <v>2814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18">
        <f t="shared" si="1"/>
        <v>106342.89581221796</v>
      </c>
      <c r="C73" s="518">
        <f t="shared" si="2"/>
        <v>7532.962022928572</v>
      </c>
      <c r="D73" s="518">
        <f t="shared" si="3"/>
        <v>1063.4289581221797</v>
      </c>
      <c r="E73" s="518">
        <f t="shared" si="5"/>
        <v>8596.3909810507521</v>
      </c>
      <c r="F73" s="518">
        <f t="shared" si="4"/>
        <v>98809.933789289382</v>
      </c>
    </row>
    <row r="74" spans="1:10" ht="16" x14ac:dyDescent="0.2">
      <c r="A74" s="184">
        <f t="shared" si="0"/>
        <v>8</v>
      </c>
      <c r="B74" s="518">
        <f t="shared" si="1"/>
        <v>98809.933789289382</v>
      </c>
      <c r="C74" s="518">
        <f t="shared" si="2"/>
        <v>7608.2916431578578</v>
      </c>
      <c r="D74" s="518">
        <f t="shared" si="3"/>
        <v>988.0993378928938</v>
      </c>
      <c r="E74" s="518">
        <f t="shared" si="5"/>
        <v>8596.3909810507521</v>
      </c>
      <c r="F74" s="518">
        <f t="shared" si="4"/>
        <v>91201.642146131519</v>
      </c>
    </row>
    <row r="75" spans="1:10" ht="16" x14ac:dyDescent="0.2">
      <c r="A75" s="184">
        <f t="shared" si="0"/>
        <v>9</v>
      </c>
      <c r="B75" s="518">
        <f t="shared" si="1"/>
        <v>91201.642146131519</v>
      </c>
      <c r="C75" s="518">
        <f t="shared" si="2"/>
        <v>7684.374559589437</v>
      </c>
      <c r="D75" s="518">
        <f t="shared" si="3"/>
        <v>912.01642146131519</v>
      </c>
      <c r="E75" s="518">
        <f t="shared" si="5"/>
        <v>8596.3909810507521</v>
      </c>
      <c r="F75" s="518">
        <f t="shared" si="4"/>
        <v>83517.267586542075</v>
      </c>
    </row>
    <row r="76" spans="1:10" ht="16" x14ac:dyDescent="0.2">
      <c r="A76" s="184">
        <f t="shared" si="0"/>
        <v>10</v>
      </c>
      <c r="B76" s="518">
        <f t="shared" si="1"/>
        <v>83517.267586542075</v>
      </c>
      <c r="C76" s="518">
        <f t="shared" si="2"/>
        <v>7761.2183051853317</v>
      </c>
      <c r="D76" s="518">
        <f t="shared" si="3"/>
        <v>835.17267586542073</v>
      </c>
      <c r="E76" s="518">
        <f t="shared" si="5"/>
        <v>8596.3909810507521</v>
      </c>
      <c r="F76" s="518">
        <f t="shared" si="4"/>
        <v>75756.04928135674</v>
      </c>
    </row>
    <row r="77" spans="1:10" ht="16" x14ac:dyDescent="0.2">
      <c r="A77" s="184">
        <f t="shared" si="0"/>
        <v>11</v>
      </c>
      <c r="B77" s="518">
        <f t="shared" si="1"/>
        <v>75756.04928135674</v>
      </c>
      <c r="C77" s="518">
        <f t="shared" si="2"/>
        <v>7838.8304882371849</v>
      </c>
      <c r="D77" s="518">
        <f t="shared" si="3"/>
        <v>757.56049281356741</v>
      </c>
      <c r="E77" s="518">
        <f t="shared" si="5"/>
        <v>8596.3909810507521</v>
      </c>
      <c r="F77" s="518">
        <f t="shared" si="4"/>
        <v>67917.218793119551</v>
      </c>
    </row>
    <row r="78" spans="1:10" ht="16" x14ac:dyDescent="0.2">
      <c r="A78" s="184">
        <f t="shared" si="0"/>
        <v>12</v>
      </c>
      <c r="B78" s="518">
        <f t="shared" si="1"/>
        <v>67917.218793119551</v>
      </c>
      <c r="C78" s="518">
        <f t="shared" si="2"/>
        <v>67917.218793119551</v>
      </c>
      <c r="D78" s="518">
        <f t="shared" si="3"/>
        <v>679.17218793119548</v>
      </c>
      <c r="E78" s="519">
        <f>E77+60000</f>
        <v>68596.390981050747</v>
      </c>
      <c r="F78" s="518">
        <f t="shared" si="4"/>
        <v>0</v>
      </c>
    </row>
    <row r="79" spans="1:10" x14ac:dyDescent="0.2">
      <c r="A79" s="44"/>
    </row>
    <row r="80" spans="1:10" x14ac:dyDescent="0.2">
      <c r="A80" s="43" t="s">
        <v>2815</v>
      </c>
    </row>
    <row r="82" spans="1:8" x14ac:dyDescent="0.2">
      <c r="A82" s="697" t="s">
        <v>2816</v>
      </c>
      <c r="B82" s="698"/>
      <c r="C82" s="698"/>
      <c r="D82" s="698"/>
      <c r="E82" s="698"/>
      <c r="F82" s="699"/>
    </row>
    <row r="83" spans="1:8" x14ac:dyDescent="0.2">
      <c r="A83" s="700" t="s">
        <v>1649</v>
      </c>
      <c r="B83" s="701"/>
      <c r="C83" s="701"/>
      <c r="D83" s="701"/>
      <c r="E83" s="701"/>
      <c r="F83" s="702"/>
    </row>
    <row r="85" spans="1:8" x14ac:dyDescent="0.2">
      <c r="A85" s="198" t="s">
        <v>1650</v>
      </c>
      <c r="B85" s="199"/>
      <c r="C85" s="199"/>
      <c r="D85" s="199"/>
      <c r="E85" s="199"/>
      <c r="F85" s="200"/>
    </row>
    <row r="88" spans="1:8" x14ac:dyDescent="0.2">
      <c r="A88" s="180" t="s">
        <v>2819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3356</v>
      </c>
    </row>
    <row r="90" spans="1:8" x14ac:dyDescent="0.2">
      <c r="A90" s="43" t="s">
        <v>321</v>
      </c>
    </row>
    <row r="91" spans="1:8" x14ac:dyDescent="0.2">
      <c r="A91" s="43" t="s">
        <v>1651</v>
      </c>
    </row>
    <row r="92" spans="1:8" x14ac:dyDescent="0.2">
      <c r="A92" s="43" t="s">
        <v>1652</v>
      </c>
    </row>
    <row r="93" spans="1:8" x14ac:dyDescent="0.2">
      <c r="A93" s="43" t="s">
        <v>1653</v>
      </c>
    </row>
    <row r="94" spans="1:8" x14ac:dyDescent="0.2">
      <c r="A94" s="43" t="s">
        <v>1654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9" x14ac:dyDescent="0.2">
      <c r="A97" s="79" t="s">
        <v>2817</v>
      </c>
    </row>
    <row r="98" spans="1:9" x14ac:dyDescent="0.2">
      <c r="A98" s="43" t="s">
        <v>2818</v>
      </c>
    </row>
    <row r="100" spans="1:9" ht="16" x14ac:dyDescent="0.2">
      <c r="A100" s="92"/>
      <c r="B100" s="92"/>
      <c r="C100" s="172" t="s">
        <v>1467</v>
      </c>
      <c r="D100" s="172" t="s">
        <v>1527</v>
      </c>
      <c r="E100" s="172" t="s">
        <v>1469</v>
      </c>
      <c r="F100" s="172" t="s">
        <v>1470</v>
      </c>
      <c r="G100" s="454" t="s">
        <v>3359</v>
      </c>
    </row>
    <row r="101" spans="1:9" ht="16" x14ac:dyDescent="0.2">
      <c r="A101" s="169" t="s">
        <v>1448</v>
      </c>
      <c r="B101" s="169" t="s">
        <v>1449</v>
      </c>
      <c r="C101" s="169" t="s">
        <v>1450</v>
      </c>
      <c r="D101" s="169" t="s">
        <v>1451</v>
      </c>
      <c r="E101" s="169" t="s">
        <v>1452</v>
      </c>
      <c r="F101" s="169" t="s">
        <v>1453</v>
      </c>
      <c r="H101" s="454" t="s">
        <v>3358</v>
      </c>
      <c r="I101" s="454" t="s">
        <v>3357</v>
      </c>
    </row>
    <row r="102" spans="1:9" ht="16" x14ac:dyDescent="0.2">
      <c r="A102" s="184">
        <v>0</v>
      </c>
      <c r="B102" s="643"/>
      <c r="C102" s="643"/>
      <c r="D102" s="643"/>
      <c r="E102" s="643"/>
      <c r="F102" s="518">
        <v>100000</v>
      </c>
    </row>
    <row r="103" spans="1:9" ht="16" x14ac:dyDescent="0.2">
      <c r="A103" s="184">
        <f>A102+1</f>
        <v>1</v>
      </c>
      <c r="B103" s="518">
        <f>F102</f>
        <v>100000</v>
      </c>
      <c r="C103" s="518">
        <f>F102/10</f>
        <v>10000</v>
      </c>
      <c r="D103" s="518">
        <f>7%*B103</f>
        <v>7000.0000000000009</v>
      </c>
      <c r="E103" s="518">
        <f>C103+D103</f>
        <v>17000</v>
      </c>
      <c r="F103" s="518">
        <f>B103-C103</f>
        <v>90000</v>
      </c>
    </row>
    <row r="104" spans="1:9" ht="16" x14ac:dyDescent="0.2">
      <c r="A104" s="184">
        <f t="shared" ref="A104:A112" si="6">A103+1</f>
        <v>2</v>
      </c>
      <c r="B104" s="518">
        <f t="shared" ref="B104:B112" si="7">F103</f>
        <v>90000</v>
      </c>
      <c r="C104" s="518">
        <f>C103</f>
        <v>10000</v>
      </c>
      <c r="D104" s="518">
        <f t="shared" ref="D104:D112" si="8">7%*B104</f>
        <v>6300.0000000000009</v>
      </c>
      <c r="E104" s="518">
        <f t="shared" ref="E104:E112" si="9">C104+D104</f>
        <v>16300</v>
      </c>
      <c r="F104" s="518">
        <f t="shared" ref="F104:F112" si="10">B104-C104</f>
        <v>80000</v>
      </c>
    </row>
    <row r="105" spans="1:9" ht="16" x14ac:dyDescent="0.2">
      <c r="A105" s="184">
        <f t="shared" si="6"/>
        <v>3</v>
      </c>
      <c r="B105" s="518">
        <f t="shared" si="7"/>
        <v>80000</v>
      </c>
      <c r="C105" s="518">
        <f t="shared" ref="C105:C112" si="11">C104</f>
        <v>10000</v>
      </c>
      <c r="D105" s="644">
        <f t="shared" si="8"/>
        <v>5600.0000000000009</v>
      </c>
      <c r="E105" s="518">
        <f t="shared" si="9"/>
        <v>15600</v>
      </c>
      <c r="F105" s="518">
        <f t="shared" si="10"/>
        <v>70000</v>
      </c>
    </row>
    <row r="106" spans="1:9" ht="16" x14ac:dyDescent="0.2">
      <c r="A106" s="184">
        <f t="shared" si="6"/>
        <v>4</v>
      </c>
      <c r="B106" s="518">
        <f t="shared" si="7"/>
        <v>70000</v>
      </c>
      <c r="C106" s="518">
        <f t="shared" si="11"/>
        <v>10000</v>
      </c>
      <c r="D106" s="518">
        <f t="shared" si="8"/>
        <v>4900.0000000000009</v>
      </c>
      <c r="E106" s="518">
        <f t="shared" si="9"/>
        <v>14900</v>
      </c>
      <c r="F106" s="518">
        <f t="shared" si="10"/>
        <v>60000</v>
      </c>
    </row>
    <row r="107" spans="1:9" ht="16" x14ac:dyDescent="0.2">
      <c r="A107" s="184">
        <f t="shared" si="6"/>
        <v>5</v>
      </c>
      <c r="B107" s="518">
        <f t="shared" si="7"/>
        <v>60000</v>
      </c>
      <c r="C107" s="518">
        <f t="shared" si="11"/>
        <v>10000</v>
      </c>
      <c r="D107" s="518">
        <f t="shared" si="8"/>
        <v>4200</v>
      </c>
      <c r="E107" s="518">
        <f t="shared" si="9"/>
        <v>14200</v>
      </c>
      <c r="F107" s="518">
        <f t="shared" si="10"/>
        <v>50000</v>
      </c>
    </row>
    <row r="108" spans="1:9" ht="16" x14ac:dyDescent="0.2">
      <c r="A108" s="184">
        <f t="shared" si="6"/>
        <v>6</v>
      </c>
      <c r="B108" s="518">
        <f t="shared" si="7"/>
        <v>50000</v>
      </c>
      <c r="C108" s="518">
        <f t="shared" si="11"/>
        <v>10000</v>
      </c>
      <c r="D108" s="518">
        <f t="shared" si="8"/>
        <v>3500.0000000000005</v>
      </c>
      <c r="E108" s="518">
        <f t="shared" si="9"/>
        <v>13500</v>
      </c>
      <c r="F108" s="518">
        <f t="shared" si="10"/>
        <v>40000</v>
      </c>
    </row>
    <row r="109" spans="1:9" ht="16" x14ac:dyDescent="0.2">
      <c r="A109" s="184">
        <f t="shared" si="6"/>
        <v>7</v>
      </c>
      <c r="B109" s="518">
        <f t="shared" si="7"/>
        <v>40000</v>
      </c>
      <c r="C109" s="518">
        <f t="shared" si="11"/>
        <v>10000</v>
      </c>
      <c r="D109" s="644">
        <f t="shared" si="8"/>
        <v>2800.0000000000005</v>
      </c>
      <c r="E109" s="518">
        <f t="shared" si="9"/>
        <v>12800</v>
      </c>
      <c r="F109" s="518">
        <f t="shared" si="10"/>
        <v>30000</v>
      </c>
    </row>
    <row r="110" spans="1:9" ht="16" x14ac:dyDescent="0.2">
      <c r="A110" s="184">
        <f t="shared" si="6"/>
        <v>8</v>
      </c>
      <c r="B110" s="518">
        <f t="shared" si="7"/>
        <v>30000</v>
      </c>
      <c r="C110" s="518">
        <f t="shared" si="11"/>
        <v>10000</v>
      </c>
      <c r="D110" s="518">
        <f t="shared" si="8"/>
        <v>2100</v>
      </c>
      <c r="E110" s="644">
        <f t="shared" si="9"/>
        <v>12100</v>
      </c>
      <c r="F110" s="518">
        <f t="shared" si="10"/>
        <v>20000</v>
      </c>
    </row>
    <row r="111" spans="1:9" ht="16" x14ac:dyDescent="0.2">
      <c r="A111" s="184">
        <f t="shared" si="6"/>
        <v>9</v>
      </c>
      <c r="B111" s="518">
        <f t="shared" si="7"/>
        <v>20000</v>
      </c>
      <c r="C111" s="518">
        <f t="shared" si="11"/>
        <v>10000</v>
      </c>
      <c r="D111" s="518">
        <f t="shared" si="8"/>
        <v>1400.0000000000002</v>
      </c>
      <c r="E111" s="518">
        <f t="shared" si="9"/>
        <v>11400</v>
      </c>
      <c r="F111" s="518">
        <f t="shared" si="10"/>
        <v>10000</v>
      </c>
    </row>
    <row r="112" spans="1:9" ht="16" x14ac:dyDescent="0.2">
      <c r="A112" s="184">
        <f t="shared" si="6"/>
        <v>10</v>
      </c>
      <c r="B112" s="518">
        <f t="shared" si="7"/>
        <v>10000</v>
      </c>
      <c r="C112" s="518">
        <f t="shared" si="11"/>
        <v>10000</v>
      </c>
      <c r="D112" s="518">
        <f t="shared" si="8"/>
        <v>700.00000000000011</v>
      </c>
      <c r="E112" s="518">
        <f t="shared" si="9"/>
        <v>10700</v>
      </c>
      <c r="F112" s="518">
        <f t="shared" si="10"/>
        <v>0</v>
      </c>
    </row>
    <row r="114" spans="1:10" x14ac:dyDescent="0.2">
      <c r="A114" s="185" t="s">
        <v>1657</v>
      </c>
      <c r="B114" s="87"/>
      <c r="C114" s="87"/>
    </row>
    <row r="115" spans="1:10" x14ac:dyDescent="0.2">
      <c r="H115" s="47" t="s">
        <v>1467</v>
      </c>
      <c r="I115" s="47" t="s">
        <v>1655</v>
      </c>
      <c r="J115" s="47" t="s">
        <v>1656</v>
      </c>
    </row>
    <row r="116" spans="1:10" x14ac:dyDescent="0.2">
      <c r="A116" s="43" t="s">
        <v>1658</v>
      </c>
    </row>
    <row r="118" spans="1:10" x14ac:dyDescent="0.2">
      <c r="A118" s="43" t="s">
        <v>1659</v>
      </c>
    </row>
    <row r="120" spans="1:10" x14ac:dyDescent="0.2">
      <c r="A120" s="43" t="s">
        <v>1660</v>
      </c>
    </row>
    <row r="122" spans="1:10" x14ac:dyDescent="0.2">
      <c r="A122" s="43" t="s">
        <v>1661</v>
      </c>
    </row>
    <row r="125" spans="1:10" x14ac:dyDescent="0.2">
      <c r="A125" s="185" t="s">
        <v>1662</v>
      </c>
    </row>
    <row r="128" spans="1:10" x14ac:dyDescent="0.2">
      <c r="C128" s="740">
        <f>7%*30000+10000</f>
        <v>12100</v>
      </c>
    </row>
    <row r="129" spans="1:8" x14ac:dyDescent="0.2">
      <c r="C129" s="740"/>
    </row>
    <row r="131" spans="1:8" x14ac:dyDescent="0.2">
      <c r="A131" s="185" t="s">
        <v>1663</v>
      </c>
    </row>
    <row r="132" spans="1:8" x14ac:dyDescent="0.2">
      <c r="A132" s="43" t="s">
        <v>1664</v>
      </c>
    </row>
    <row r="138" spans="1:8" x14ac:dyDescent="0.2">
      <c r="A138" s="180" t="s">
        <v>2820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1665</v>
      </c>
    </row>
    <row r="140" spans="1:8" x14ac:dyDescent="0.2">
      <c r="A140" s="43" t="s">
        <v>1666</v>
      </c>
    </row>
    <row r="141" spans="1:8" x14ac:dyDescent="0.2">
      <c r="A141" s="43" t="s">
        <v>1667</v>
      </c>
    </row>
    <row r="142" spans="1:8" x14ac:dyDescent="0.2">
      <c r="A142" s="43" t="s">
        <v>1668</v>
      </c>
    </row>
    <row r="144" spans="1:8" x14ac:dyDescent="0.2">
      <c r="A144" s="44" t="s">
        <v>1669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1670</v>
      </c>
    </row>
    <row r="146" spans="1:6" x14ac:dyDescent="0.2">
      <c r="A146" s="43" t="s">
        <v>1671</v>
      </c>
    </row>
    <row r="148" spans="1:6" x14ac:dyDescent="0.2">
      <c r="A148" s="43" t="s">
        <v>2821</v>
      </c>
    </row>
    <row r="149" spans="1:6" x14ac:dyDescent="0.2">
      <c r="A149" s="43" t="s">
        <v>1672</v>
      </c>
    </row>
    <row r="150" spans="1:6" x14ac:dyDescent="0.2">
      <c r="A150" s="43" t="s">
        <v>1673</v>
      </c>
    </row>
    <row r="151" spans="1:6" x14ac:dyDescent="0.2">
      <c r="D151" s="290"/>
      <c r="E151" s="29" t="s">
        <v>772</v>
      </c>
    </row>
    <row r="152" spans="1:6" x14ac:dyDescent="0.2">
      <c r="D152" s="703" t="s">
        <v>1674</v>
      </c>
      <c r="E152" s="705" t="s">
        <v>1675</v>
      </c>
    </row>
    <row r="153" spans="1:6" x14ac:dyDescent="0.2">
      <c r="D153" s="704" t="s">
        <v>1676</v>
      </c>
      <c r="E153" s="704" t="s">
        <v>1677</v>
      </c>
    </row>
    <row r="154" spans="1:6" x14ac:dyDescent="0.2">
      <c r="D154" s="441">
        <f>E154</f>
        <v>0.01</v>
      </c>
      <c r="E154" s="645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5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1555</v>
      </c>
      <c r="D157" s="646">
        <f>PMT(D154,D155,D156,D158)</f>
        <v>-4987.3312849437661</v>
      </c>
      <c r="E157" s="29">
        <v>0</v>
      </c>
      <c r="F157" s="43" t="s">
        <v>91</v>
      </c>
    </row>
    <row r="158" spans="1:6" x14ac:dyDescent="0.2">
      <c r="C158" s="290"/>
      <c r="D158" s="29">
        <v>0</v>
      </c>
      <c r="E158" s="492">
        <f>FV(E154,E155,E157,E156)</f>
        <v>-210202.01001999999</v>
      </c>
      <c r="F158" s="43" t="s">
        <v>105</v>
      </c>
    </row>
    <row r="160" spans="1:6" x14ac:dyDescent="0.2">
      <c r="A160" s="43" t="s">
        <v>1678</v>
      </c>
    </row>
    <row r="161" spans="1:8" ht="16" x14ac:dyDescent="0.2">
      <c r="A161" s="92"/>
      <c r="B161" s="92"/>
      <c r="C161" s="187" t="s">
        <v>1467</v>
      </c>
      <c r="D161" s="187" t="s">
        <v>1527</v>
      </c>
      <c r="E161" s="187" t="s">
        <v>1469</v>
      </c>
      <c r="F161" s="187" t="s">
        <v>1470</v>
      </c>
    </row>
    <row r="162" spans="1:8" ht="16" x14ac:dyDescent="0.2">
      <c r="A162" s="169" t="s">
        <v>1448</v>
      </c>
      <c r="B162" s="169" t="s">
        <v>1449</v>
      </c>
      <c r="C162" s="169" t="s">
        <v>1450</v>
      </c>
      <c r="D162" s="169" t="s">
        <v>1451</v>
      </c>
      <c r="E162" s="169" t="s">
        <v>1452</v>
      </c>
      <c r="F162" s="169" t="s">
        <v>1453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1679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1680</v>
      </c>
    </row>
    <row r="174" spans="1:8" x14ac:dyDescent="0.2">
      <c r="A174" s="43" t="s">
        <v>1681</v>
      </c>
    </row>
    <row r="175" spans="1:8" x14ac:dyDescent="0.2">
      <c r="A175" s="43" t="s">
        <v>1682</v>
      </c>
    </row>
    <row r="177" spans="1:6" x14ac:dyDescent="0.2">
      <c r="A177" s="43" t="s">
        <v>111</v>
      </c>
    </row>
    <row r="178" spans="1:6" x14ac:dyDescent="0.2">
      <c r="A178" s="43" t="s">
        <v>1683</v>
      </c>
    </row>
    <row r="179" spans="1:6" x14ac:dyDescent="0.2">
      <c r="A179" s="43" t="s">
        <v>1684</v>
      </c>
    </row>
    <row r="181" spans="1:6" x14ac:dyDescent="0.2">
      <c r="E181" s="315" t="s">
        <v>1675</v>
      </c>
    </row>
    <row r="182" spans="1:6" x14ac:dyDescent="0.2">
      <c r="E182" s="520" t="s">
        <v>1677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1685</v>
      </c>
      <c r="B187" s="67"/>
      <c r="C187" s="67"/>
      <c r="D187" s="67"/>
      <c r="E187" s="521">
        <f>FV(E183,E184,E186,E185)</f>
        <v>-210202.01001999999</v>
      </c>
      <c r="F187" s="208" t="s">
        <v>105</v>
      </c>
    </row>
    <row r="189" spans="1:6" x14ac:dyDescent="0.2">
      <c r="A189" s="43" t="s">
        <v>2822</v>
      </c>
    </row>
    <row r="191" spans="1:6" x14ac:dyDescent="0.2">
      <c r="A191" s="185" t="s">
        <v>1686</v>
      </c>
    </row>
    <row r="193" spans="1:7" x14ac:dyDescent="0.2">
      <c r="F193" s="43" t="s">
        <v>1687</v>
      </c>
    </row>
    <row r="194" spans="1:7" x14ac:dyDescent="0.2">
      <c r="A194" s="44" t="s">
        <v>196</v>
      </c>
      <c r="B194" s="44"/>
      <c r="C194" s="523">
        <f>210202*1%+210202/55</f>
        <v>5923.874545454546</v>
      </c>
      <c r="F194" s="43" t="s">
        <v>1688</v>
      </c>
    </row>
    <row r="196" spans="1:7" x14ac:dyDescent="0.2">
      <c r="D196" s="43" t="s">
        <v>2824</v>
      </c>
      <c r="F196" s="43" t="s">
        <v>2823</v>
      </c>
    </row>
    <row r="197" spans="1:7" x14ac:dyDescent="0.2">
      <c r="D197" s="43" t="s">
        <v>2825</v>
      </c>
    </row>
    <row r="199" spans="1:7" x14ac:dyDescent="0.2">
      <c r="A199" s="185" t="s">
        <v>1689</v>
      </c>
    </row>
    <row r="200" spans="1:7" x14ac:dyDescent="0.2">
      <c r="A200" s="43" t="s">
        <v>2826</v>
      </c>
    </row>
    <row r="202" spans="1:7" x14ac:dyDescent="0.2">
      <c r="F202" s="43" t="s">
        <v>1690</v>
      </c>
    </row>
    <row r="203" spans="1:7" x14ac:dyDescent="0.2">
      <c r="B203" s="522">
        <f>210202/55*52*1%+210202/55</f>
        <v>5809.2189090909096</v>
      </c>
      <c r="F203" s="43" t="s">
        <v>3360</v>
      </c>
    </row>
    <row r="205" spans="1:7" x14ac:dyDescent="0.2">
      <c r="C205" s="43" t="s">
        <v>2824</v>
      </c>
      <c r="E205" s="43" t="s">
        <v>2827</v>
      </c>
    </row>
    <row r="206" spans="1:7" x14ac:dyDescent="0.2">
      <c r="C206" s="43" t="s">
        <v>2835</v>
      </c>
      <c r="E206" s="43" t="s">
        <v>2828</v>
      </c>
    </row>
    <row r="207" spans="1:7" x14ac:dyDescent="0.2">
      <c r="C207" s="43" t="s">
        <v>2825</v>
      </c>
      <c r="E207" s="43" t="s">
        <v>2829</v>
      </c>
      <c r="G207" s="43" t="s">
        <v>2831</v>
      </c>
    </row>
    <row r="208" spans="1:7" x14ac:dyDescent="0.2">
      <c r="E208" s="43" t="s">
        <v>2830</v>
      </c>
      <c r="G208" s="43" t="s">
        <v>2832</v>
      </c>
    </row>
    <row r="209" spans="1:8" x14ac:dyDescent="0.2">
      <c r="E209" s="43" t="s">
        <v>2833</v>
      </c>
      <c r="G209" s="43" t="s">
        <v>2834</v>
      </c>
    </row>
    <row r="212" spans="1:8" x14ac:dyDescent="0.2">
      <c r="A212" s="43" t="s">
        <v>1691</v>
      </c>
    </row>
    <row r="213" spans="1:8" ht="16" x14ac:dyDescent="0.2">
      <c r="A213" s="92"/>
      <c r="B213" s="92"/>
      <c r="C213" s="187" t="s">
        <v>1467</v>
      </c>
      <c r="D213" s="187" t="s">
        <v>1527</v>
      </c>
      <c r="E213" s="187" t="s">
        <v>1469</v>
      </c>
      <c r="F213" s="187" t="s">
        <v>1470</v>
      </c>
    </row>
    <row r="214" spans="1:8" ht="16" x14ac:dyDescent="0.2">
      <c r="A214" s="169" t="s">
        <v>1448</v>
      </c>
      <c r="B214" s="169" t="s">
        <v>1449</v>
      </c>
      <c r="C214" s="169" t="s">
        <v>1450</v>
      </c>
      <c r="D214" s="169" t="s">
        <v>1451</v>
      </c>
      <c r="E214" s="169" t="s">
        <v>1452</v>
      </c>
      <c r="F214" s="169" t="s">
        <v>1453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1692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1693</v>
      </c>
    </row>
    <row r="226" spans="1:7" x14ac:dyDescent="0.2">
      <c r="A226" s="43" t="s">
        <v>1694</v>
      </c>
    </row>
    <row r="227" spans="1:7" x14ac:dyDescent="0.2">
      <c r="A227" s="43" t="s">
        <v>1695</v>
      </c>
    </row>
    <row r="229" spans="1:7" x14ac:dyDescent="0.2">
      <c r="A229" s="43" t="s">
        <v>111</v>
      </c>
    </row>
    <row r="230" spans="1:7" x14ac:dyDescent="0.2">
      <c r="A230" s="43" t="s">
        <v>2836</v>
      </c>
    </row>
    <row r="231" spans="1:7" x14ac:dyDescent="0.2">
      <c r="A231" s="43" t="s">
        <v>2837</v>
      </c>
    </row>
    <row r="233" spans="1:7" ht="34" x14ac:dyDescent="0.2">
      <c r="A233" s="92"/>
      <c r="B233" s="92"/>
      <c r="C233" s="187" t="s">
        <v>1467</v>
      </c>
      <c r="D233" s="188" t="s">
        <v>1696</v>
      </c>
      <c r="E233" s="187" t="s">
        <v>1469</v>
      </c>
      <c r="F233" s="187" t="s">
        <v>1470</v>
      </c>
    </row>
    <row r="234" spans="1:7" ht="16" x14ac:dyDescent="0.2">
      <c r="A234" s="169" t="s">
        <v>1448</v>
      </c>
      <c r="B234" s="169" t="s">
        <v>1449</v>
      </c>
      <c r="C234" s="169" t="s">
        <v>1450</v>
      </c>
      <c r="D234" s="169" t="s">
        <v>1451</v>
      </c>
      <c r="E234" s="169" t="s">
        <v>1452</v>
      </c>
      <c r="F234" s="169" t="s">
        <v>1453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734</v>
      </c>
      <c r="G235" s="43" t="s">
        <v>2789</v>
      </c>
    </row>
    <row r="236" spans="1:7" ht="16" x14ac:dyDescent="0.2">
      <c r="A236" s="184">
        <f>A235+1</f>
        <v>1</v>
      </c>
      <c r="B236" s="518"/>
      <c r="C236" s="518">
        <v>0</v>
      </c>
      <c r="D236" s="518">
        <v>0</v>
      </c>
      <c r="E236" s="518">
        <v>0</v>
      </c>
      <c r="F236" s="518"/>
    </row>
    <row r="237" spans="1:7" ht="16" x14ac:dyDescent="0.2">
      <c r="A237" s="184">
        <f t="shared" ref="A237:A241" si="18">A236+1</f>
        <v>2</v>
      </c>
      <c r="B237" s="518"/>
      <c r="C237" s="518">
        <v>0</v>
      </c>
      <c r="D237" s="518">
        <v>0</v>
      </c>
      <c r="E237" s="518">
        <v>0</v>
      </c>
      <c r="F237" s="518"/>
    </row>
    <row r="238" spans="1:7" ht="16" x14ac:dyDescent="0.2">
      <c r="A238" s="184">
        <f t="shared" si="18"/>
        <v>3</v>
      </c>
      <c r="B238" s="518"/>
      <c r="C238" s="518">
        <v>0</v>
      </c>
      <c r="D238" s="518">
        <v>0</v>
      </c>
      <c r="E238" s="518">
        <v>0</v>
      </c>
      <c r="F238" s="518"/>
    </row>
    <row r="239" spans="1:7" ht="16" x14ac:dyDescent="0.2">
      <c r="A239" s="184">
        <f t="shared" si="18"/>
        <v>4</v>
      </c>
      <c r="B239" s="518"/>
      <c r="C239" s="518">
        <v>0</v>
      </c>
      <c r="D239" s="518">
        <v>0</v>
      </c>
      <c r="E239" s="518">
        <v>0</v>
      </c>
      <c r="F239" s="518"/>
    </row>
    <row r="240" spans="1:7" ht="16" x14ac:dyDescent="0.2">
      <c r="A240" s="184">
        <f t="shared" si="18"/>
        <v>5</v>
      </c>
      <c r="B240" s="518"/>
      <c r="C240" s="518">
        <v>0</v>
      </c>
      <c r="D240" s="518">
        <v>0</v>
      </c>
      <c r="E240" s="518">
        <v>0</v>
      </c>
      <c r="F240" s="518"/>
    </row>
    <row r="241" spans="1:9" ht="16" x14ac:dyDescent="0.2">
      <c r="A241" s="184">
        <f t="shared" si="18"/>
        <v>6</v>
      </c>
      <c r="B241" s="518"/>
      <c r="C241" s="518">
        <v>0</v>
      </c>
      <c r="D241" s="518">
        <v>0</v>
      </c>
      <c r="E241" s="518">
        <v>0</v>
      </c>
      <c r="F241" s="524">
        <f>B242</f>
        <v>1500000</v>
      </c>
      <c r="G241" s="43" t="s">
        <v>580</v>
      </c>
    </row>
    <row r="242" spans="1:9" ht="16" x14ac:dyDescent="0.2">
      <c r="A242" s="184">
        <f>A241+1</f>
        <v>7</v>
      </c>
      <c r="B242" s="524">
        <f>15000/1%</f>
        <v>1500000</v>
      </c>
      <c r="C242" s="518"/>
      <c r="D242" s="518">
        <v>15000</v>
      </c>
      <c r="E242" s="292"/>
      <c r="F242" s="518"/>
      <c r="I242" s="43" t="s">
        <v>2838</v>
      </c>
    </row>
    <row r="243" spans="1:9" x14ac:dyDescent="0.2">
      <c r="I243" s="43" t="s">
        <v>2839</v>
      </c>
    </row>
    <row r="244" spans="1:9" x14ac:dyDescent="0.2">
      <c r="A244" s="43" t="s">
        <v>1697</v>
      </c>
    </row>
    <row r="245" spans="1:9" x14ac:dyDescent="0.2">
      <c r="A245" s="43" t="s">
        <v>1698</v>
      </c>
    </row>
    <row r="250" spans="1:9" x14ac:dyDescent="0.2">
      <c r="A250" s="43" t="s">
        <v>1699</v>
      </c>
    </row>
    <row r="251" spans="1:9" x14ac:dyDescent="0.2">
      <c r="A251" s="43" t="s">
        <v>1700</v>
      </c>
    </row>
    <row r="252" spans="1:9" x14ac:dyDescent="0.2">
      <c r="A252" s="43" t="s">
        <v>1701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1702</v>
      </c>
      <c r="D255" s="47">
        <v>6</v>
      </c>
      <c r="E255" s="43" t="s">
        <v>89</v>
      </c>
    </row>
    <row r="256" spans="1:9" ht="16" x14ac:dyDescent="0.2">
      <c r="A256" s="43" t="s">
        <v>1703</v>
      </c>
      <c r="D256" s="190">
        <f>PV(D254,D255,D257,D258)</f>
        <v>-1413067.8528813098</v>
      </c>
      <c r="E256" s="43" t="s">
        <v>281</v>
      </c>
      <c r="F256" s="43" t="s">
        <v>1704</v>
      </c>
    </row>
    <row r="257" spans="1:7" x14ac:dyDescent="0.2">
      <c r="A257" s="43" t="s">
        <v>1705</v>
      </c>
      <c r="D257" s="47">
        <v>0</v>
      </c>
      <c r="E257" s="43" t="s">
        <v>91</v>
      </c>
    </row>
    <row r="258" spans="1:7" x14ac:dyDescent="0.2">
      <c r="A258" s="43" t="s">
        <v>1706</v>
      </c>
      <c r="D258" s="48">
        <f>F241</f>
        <v>1500000</v>
      </c>
      <c r="E258" s="43" t="s">
        <v>105</v>
      </c>
    </row>
    <row r="260" spans="1:7" x14ac:dyDescent="0.2">
      <c r="A260" s="191" t="s">
        <v>1707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1708</v>
      </c>
      <c r="G261" s="195"/>
    </row>
    <row r="262" spans="1:7" x14ac:dyDescent="0.2">
      <c r="A262" s="196" t="s">
        <v>1709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2840</v>
      </c>
      <c r="D266" s="43" t="s">
        <v>2841</v>
      </c>
      <c r="E266" s="43" t="s">
        <v>2845</v>
      </c>
    </row>
    <row r="267" spans="1:7" x14ac:dyDescent="0.2">
      <c r="B267" s="43" t="s">
        <v>3361</v>
      </c>
      <c r="D267" s="43" t="s">
        <v>2842</v>
      </c>
      <c r="E267" s="43" t="s">
        <v>2846</v>
      </c>
    </row>
    <row r="268" spans="1:7" x14ac:dyDescent="0.2">
      <c r="D268" s="43" t="s">
        <v>2843</v>
      </c>
      <c r="E268" s="43" t="s">
        <v>3363</v>
      </c>
    </row>
    <row r="269" spans="1:7" x14ac:dyDescent="0.2">
      <c r="D269" s="43" t="s">
        <v>2844</v>
      </c>
    </row>
    <row r="270" spans="1:7" x14ac:dyDescent="0.2">
      <c r="D270" s="43" t="s">
        <v>3362</v>
      </c>
    </row>
    <row r="273" spans="1:8" x14ac:dyDescent="0.2">
      <c r="D273" s="706" t="s">
        <v>892</v>
      </c>
    </row>
    <row r="275" spans="1:8" x14ac:dyDescent="0.2">
      <c r="A275" s="707" t="s">
        <v>3364</v>
      </c>
      <c r="B275" s="707"/>
      <c r="C275" s="707"/>
      <c r="D275" s="707"/>
      <c r="E275" s="707"/>
      <c r="F275" s="707"/>
      <c r="G275" s="707"/>
      <c r="H275" s="707"/>
    </row>
    <row r="276" spans="1:8" x14ac:dyDescent="0.2">
      <c r="A276" s="43" t="s">
        <v>3368</v>
      </c>
    </row>
    <row r="277" spans="1:8" x14ac:dyDescent="0.2">
      <c r="A277" s="43" t="s">
        <v>3365</v>
      </c>
    </row>
    <row r="278" spans="1:8" x14ac:dyDescent="0.2">
      <c r="A278" s="43" t="s">
        <v>3366</v>
      </c>
    </row>
    <row r="279" spans="1:8" x14ac:dyDescent="0.2">
      <c r="A279" s="43" t="s">
        <v>3367</v>
      </c>
    </row>
    <row r="281" spans="1:8" x14ac:dyDescent="0.2">
      <c r="A281" s="43" t="s">
        <v>111</v>
      </c>
    </row>
    <row r="283" spans="1:8" x14ac:dyDescent="0.2">
      <c r="A283" s="43" t="s">
        <v>3369</v>
      </c>
    </row>
    <row r="284" spans="1:8" x14ac:dyDescent="0.2">
      <c r="A284" s="43" t="s">
        <v>3370</v>
      </c>
    </row>
    <row r="286" spans="1:8" x14ac:dyDescent="0.2">
      <c r="A286" s="43" t="s">
        <v>3371</v>
      </c>
    </row>
    <row r="287" spans="1:8" x14ac:dyDescent="0.2">
      <c r="A287" s="43" t="s">
        <v>3372</v>
      </c>
    </row>
    <row r="289" spans="1:5" x14ac:dyDescent="0.2">
      <c r="D289" s="708">
        <f>1.12^0.25-1</f>
        <v>2.8737344722080227E-2</v>
      </c>
    </row>
    <row r="291" spans="1:5" x14ac:dyDescent="0.2">
      <c r="A291" s="43" t="s">
        <v>3373</v>
      </c>
    </row>
    <row r="296" spans="1:5" x14ac:dyDescent="0.2">
      <c r="D296" s="76">
        <f>8000/D289</f>
        <v>278383.40937091626</v>
      </c>
    </row>
    <row r="298" spans="1:5" x14ac:dyDescent="0.2">
      <c r="A298" s="43" t="s">
        <v>3374</v>
      </c>
    </row>
    <row r="300" spans="1:5" x14ac:dyDescent="0.2">
      <c r="D300" s="709">
        <f>D289</f>
        <v>2.8737344722080227E-2</v>
      </c>
      <c r="E300" s="43" t="s">
        <v>87</v>
      </c>
    </row>
    <row r="301" spans="1:5" x14ac:dyDescent="0.2">
      <c r="D301" s="43">
        <v>5</v>
      </c>
      <c r="E301" s="43" t="s">
        <v>89</v>
      </c>
    </row>
    <row r="302" spans="1:5" x14ac:dyDescent="0.2">
      <c r="D302" s="43">
        <v>0</v>
      </c>
      <c r="E302" s="43" t="s">
        <v>91</v>
      </c>
    </row>
    <row r="303" spans="1:5" x14ac:dyDescent="0.2">
      <c r="D303" s="710">
        <f>PV(D300,D301,D302,D304)</f>
        <v>-241613.29107469687</v>
      </c>
      <c r="E303" s="43" t="s">
        <v>281</v>
      </c>
    </row>
    <row r="304" spans="1:5" x14ac:dyDescent="0.2">
      <c r="D304" s="76">
        <f>D296</f>
        <v>278383.40937091626</v>
      </c>
      <c r="E304" s="43" t="s">
        <v>105</v>
      </c>
    </row>
    <row r="306" spans="1:1" x14ac:dyDescent="0.2">
      <c r="A306" s="44" t="s">
        <v>3375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Shay Tsaban</cp:lastModifiedBy>
  <cp:revision/>
  <dcterms:created xsi:type="dcterms:W3CDTF">2018-12-12T18:34:35Z</dcterms:created>
  <dcterms:modified xsi:type="dcterms:W3CDTF">2025-06-04T09:30:23Z</dcterms:modified>
  <cp:category/>
  <cp:contentStatus/>
</cp:coreProperties>
</file>